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vsd" ContentType="application/vnd.visio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buchholz\Desktop\"/>
    </mc:Choice>
  </mc:AlternateContent>
  <bookViews>
    <workbookView xWindow="0" yWindow="0" windowWidth="28800" windowHeight="13500"/>
  </bookViews>
  <sheets>
    <sheet name="All Funds" sheetId="1" r:id="rId1"/>
    <sheet name="GPR Funds" sheetId="5" r:id="rId2"/>
    <sheet name="By Fund" sheetId="4" r:id="rId3"/>
    <sheet name="By Functional Activity" sheetId="6" r:id="rId4"/>
  </sheets>
  <definedNames>
    <definedName name="_xlnm.Print_Area" localSheetId="0">'All Funds'!$A$1:$G$29</definedName>
  </definedNames>
  <calcPr calcId="162913"/>
</workbook>
</file>

<file path=xl/calcChain.xml><?xml version="1.0" encoding="utf-8"?>
<calcChain xmlns="http://schemas.openxmlformats.org/spreadsheetml/2006/main">
  <c r="D16" i="5" l="1"/>
  <c r="J19" i="6" l="1"/>
  <c r="I19" i="6"/>
  <c r="H19" i="6"/>
  <c r="G19" i="6"/>
  <c r="F19" i="6"/>
  <c r="E19" i="6"/>
  <c r="D19" i="6"/>
  <c r="C19" i="6"/>
  <c r="B19" i="6"/>
  <c r="E20" i="1" l="1"/>
  <c r="D20" i="1"/>
  <c r="C20" i="1"/>
  <c r="B20" i="1"/>
  <c r="D19" i="1"/>
  <c r="C19" i="1"/>
  <c r="E18" i="1"/>
  <c r="D18" i="1"/>
  <c r="C18" i="1"/>
  <c r="B18" i="1"/>
  <c r="E17" i="1"/>
  <c r="D17" i="1"/>
  <c r="C17" i="1"/>
  <c r="B17" i="1"/>
  <c r="E13" i="1"/>
  <c r="D13" i="1"/>
  <c r="C13" i="1"/>
  <c r="B13" i="1"/>
  <c r="E12" i="1"/>
  <c r="C12" i="1"/>
  <c r="B12" i="1"/>
  <c r="E11" i="1"/>
  <c r="D11" i="1"/>
  <c r="C11" i="1"/>
  <c r="E10" i="1"/>
  <c r="D10" i="1"/>
  <c r="C10" i="1"/>
  <c r="E9" i="1"/>
  <c r="D9" i="1"/>
  <c r="C9" i="1"/>
  <c r="B9" i="1"/>
  <c r="E19" i="5"/>
  <c r="D19" i="5"/>
  <c r="C19" i="5"/>
  <c r="B19" i="5"/>
  <c r="B14" i="5"/>
  <c r="B21" i="5" s="1"/>
  <c r="C18" i="5"/>
  <c r="D17" i="5"/>
  <c r="C17" i="5"/>
  <c r="B17" i="5"/>
  <c r="E16" i="5"/>
  <c r="C16" i="5"/>
  <c r="E13" i="5"/>
  <c r="D13" i="5"/>
  <c r="C13" i="5"/>
  <c r="B13" i="5"/>
  <c r="D12" i="5"/>
  <c r="C12" i="5"/>
  <c r="B12" i="5"/>
  <c r="E11" i="5"/>
  <c r="D11" i="5"/>
  <c r="C11" i="5"/>
  <c r="B11" i="5"/>
  <c r="D10" i="5"/>
  <c r="C9" i="5"/>
  <c r="D9" i="5"/>
  <c r="E9" i="5"/>
  <c r="B9" i="5"/>
  <c r="D6" i="5"/>
  <c r="C6" i="5"/>
  <c r="G9" i="4" l="1"/>
  <c r="G10" i="4"/>
  <c r="G11" i="4"/>
  <c r="G12" i="4"/>
  <c r="G13" i="4"/>
  <c r="D27" i="4"/>
  <c r="E27" i="4"/>
  <c r="F27" i="4"/>
  <c r="C27" i="4"/>
  <c r="L18" i="6" l="1"/>
  <c r="L19" i="6"/>
  <c r="L17" i="6"/>
  <c r="L16" i="6"/>
  <c r="L6" i="6"/>
  <c r="L13" i="6"/>
  <c r="L12" i="6"/>
  <c r="L11" i="6"/>
  <c r="L10" i="6"/>
  <c r="L9" i="6"/>
  <c r="J14" i="6"/>
  <c r="J21" i="6" s="1"/>
  <c r="G14" i="6" l="1"/>
  <c r="G21" i="6" s="1"/>
  <c r="F14" i="6"/>
  <c r="F21" i="6" l="1"/>
  <c r="G20" i="1"/>
  <c r="G19" i="5"/>
  <c r="G10" i="5" l="1"/>
  <c r="G22" i="4"/>
  <c r="G21" i="4"/>
  <c r="G10" i="1"/>
  <c r="E14" i="5" l="1"/>
  <c r="E21" i="5" s="1"/>
  <c r="C14" i="5"/>
  <c r="C21" i="5" s="1"/>
  <c r="G21" i="5" s="1"/>
  <c r="E14" i="1"/>
  <c r="E22" i="1" s="1"/>
  <c r="B14" i="1"/>
  <c r="B22" i="1" s="1"/>
  <c r="D14" i="5"/>
  <c r="D21" i="5" s="1"/>
  <c r="C14" i="6"/>
  <c r="C21" i="6" s="1"/>
  <c r="D14" i="6"/>
  <c r="D21" i="6" s="1"/>
  <c r="E14" i="6"/>
  <c r="E21" i="6" s="1"/>
  <c r="H14" i="6"/>
  <c r="H21" i="6" s="1"/>
  <c r="I14" i="6"/>
  <c r="I21" i="6" s="1"/>
  <c r="B14" i="6"/>
  <c r="B21" i="6" l="1"/>
  <c r="L21" i="6" s="1"/>
  <c r="K19" i="6" s="1"/>
  <c r="L14" i="6"/>
  <c r="D14" i="1"/>
  <c r="D22" i="1" s="1"/>
  <c r="C14" i="1"/>
  <c r="C22" i="1" s="1"/>
  <c r="G23" i="4"/>
  <c r="K14" i="6" l="1"/>
  <c r="G22" i="1"/>
  <c r="G14" i="1"/>
  <c r="G17" i="4" l="1"/>
  <c r="G8" i="4"/>
  <c r="G16" i="4"/>
  <c r="G18" i="4"/>
  <c r="G19" i="4"/>
  <c r="G20" i="4"/>
  <c r="G24" i="4"/>
  <c r="G25" i="4"/>
  <c r="G7" i="4"/>
  <c r="G6" i="4"/>
  <c r="G6" i="5"/>
  <c r="G14" i="4" l="1"/>
  <c r="G15" i="4"/>
  <c r="G27" i="4"/>
  <c r="G18" i="5"/>
  <c r="G16" i="5"/>
  <c r="G13" i="5"/>
  <c r="G12" i="5"/>
  <c r="G11" i="5"/>
  <c r="G9" i="5"/>
  <c r="G17" i="5"/>
  <c r="G14" i="5" l="1"/>
  <c r="F19" i="5" l="1"/>
  <c r="F6" i="5"/>
  <c r="K6" i="6"/>
  <c r="K11" i="6"/>
  <c r="K21" i="6"/>
  <c r="K9" i="6"/>
  <c r="K18" i="6"/>
  <c r="K12" i="6"/>
  <c r="K17" i="6"/>
  <c r="K10" i="6"/>
  <c r="K13" i="6"/>
  <c r="K16" i="6"/>
  <c r="F10" i="5"/>
  <c r="F18" i="5"/>
  <c r="F11" i="5"/>
  <c r="F16" i="5"/>
  <c r="F12" i="5"/>
  <c r="F17" i="5"/>
  <c r="F13" i="5"/>
  <c r="F21" i="5"/>
  <c r="F14" i="5"/>
  <c r="F9" i="5"/>
  <c r="G9" i="1"/>
  <c r="G11" i="1"/>
  <c r="G12" i="1"/>
  <c r="G13" i="1"/>
  <c r="G17" i="1"/>
  <c r="G18" i="1"/>
  <c r="G19" i="1"/>
  <c r="G6" i="1"/>
  <c r="F10" i="1" l="1"/>
  <c r="F20" i="1"/>
  <c r="F14" i="1"/>
  <c r="F19" i="1"/>
  <c r="F12" i="1"/>
  <c r="F13" i="1"/>
  <c r="F18" i="1"/>
  <c r="F17" i="1"/>
  <c r="F11" i="1"/>
  <c r="F9" i="1"/>
  <c r="F22" i="1"/>
  <c r="F6" i="1"/>
</calcChain>
</file>

<file path=xl/sharedStrings.xml><?xml version="1.0" encoding="utf-8"?>
<sst xmlns="http://schemas.openxmlformats.org/spreadsheetml/2006/main" count="142" uniqueCount="83">
  <si>
    <t>All Funds Budget by Division &amp; College</t>
  </si>
  <si>
    <t>Division</t>
  </si>
  <si>
    <t>Unclassified</t>
  </si>
  <si>
    <t>Classified</t>
  </si>
  <si>
    <t>S&amp;E &amp; Capital</t>
  </si>
  <si>
    <t>Pct.</t>
  </si>
  <si>
    <t>Total</t>
  </si>
  <si>
    <t>Chancellor</t>
  </si>
  <si>
    <t>Academic Affairs</t>
  </si>
  <si>
    <t>Provost</t>
  </si>
  <si>
    <t>College of Business Administration</t>
  </si>
  <si>
    <t>College of Liberal Studies</t>
  </si>
  <si>
    <t>College of Science &amp; Health</t>
  </si>
  <si>
    <t>Total Academic Affairs</t>
  </si>
  <si>
    <t>Administration &amp; Finance</t>
  </si>
  <si>
    <t>Student Affairs</t>
  </si>
  <si>
    <t>University Advancement</t>
  </si>
  <si>
    <t>University-Wide</t>
  </si>
  <si>
    <t>Notes:</t>
  </si>
  <si>
    <t>GPR Budget by Division</t>
  </si>
  <si>
    <t>Fund</t>
  </si>
  <si>
    <t>Fund Source</t>
  </si>
  <si>
    <t>All Funds Budget Summary</t>
  </si>
  <si>
    <t>GPR-Comprehensives</t>
  </si>
  <si>
    <t>Energy Costs</t>
  </si>
  <si>
    <t>Academic Debt Service</t>
  </si>
  <si>
    <t>Auxiliary Debt Service</t>
  </si>
  <si>
    <t>Auxiliary Enterprises</t>
  </si>
  <si>
    <t>Academic Fees</t>
  </si>
  <si>
    <t>Private Grants &amp; Contracts</t>
  </si>
  <si>
    <t>General Operations Receipts</t>
  </si>
  <si>
    <t>Federal Perkins Loan</t>
  </si>
  <si>
    <t>Federal Pell Grants</t>
  </si>
  <si>
    <t>Direct Student Loans</t>
  </si>
  <si>
    <t>Federal Indirect Cost</t>
  </si>
  <si>
    <t>Minority &amp; Disadvantaged Programs</t>
  </si>
  <si>
    <t>Grad Advanced Opportunity Grants</t>
  </si>
  <si>
    <t>UG Lawton Minority Grants</t>
  </si>
  <si>
    <t>Instruction</t>
  </si>
  <si>
    <t>Research</t>
  </si>
  <si>
    <t>Student Services</t>
  </si>
  <si>
    <t>Institutional Support</t>
  </si>
  <si>
    <t>Public Service</t>
  </si>
  <si>
    <t>Academic Support</t>
  </si>
  <si>
    <t>Physical Plant</t>
  </si>
  <si>
    <t>Financial Aid</t>
  </si>
  <si>
    <t>All Funds Budget by Expenditure Function</t>
  </si>
  <si>
    <t>University of Wisconsin-La Crosse</t>
  </si>
  <si>
    <t>Fr. Benefits    &amp; Other</t>
  </si>
  <si>
    <t>Fr. Benefits     &amp; Other</t>
  </si>
  <si>
    <t>Federal Ed Opportunity Grants</t>
  </si>
  <si>
    <t>Federal Ed Grants &amp; Contracts</t>
  </si>
  <si>
    <t xml:space="preserve">1. Fringe Benefits &amp; Other includes expenditure budgets for Debt Service, Sales Credits, and Financial Aid. </t>
  </si>
  <si>
    <t>Foundation Related Accounts</t>
  </si>
  <si>
    <t>School of Education</t>
  </si>
  <si>
    <t>102</t>
  </si>
  <si>
    <t>109</t>
  </si>
  <si>
    <t>110</t>
  </si>
  <si>
    <t>123</t>
  </si>
  <si>
    <t>128</t>
  </si>
  <si>
    <t>131</t>
  </si>
  <si>
    <t>133</t>
  </si>
  <si>
    <t>136</t>
  </si>
  <si>
    <t>144</t>
  </si>
  <si>
    <t>146</t>
  </si>
  <si>
    <t>147</t>
  </si>
  <si>
    <t>148</t>
  </si>
  <si>
    <t>149</t>
  </si>
  <si>
    <t>150</t>
  </si>
  <si>
    <t>231</t>
  </si>
  <si>
    <t>233</t>
  </si>
  <si>
    <t>402</t>
  </si>
  <si>
    <t>403</t>
  </si>
  <si>
    <t>406</t>
  </si>
  <si>
    <t>Academic Student Fees - Carryforward Contribution</t>
  </si>
  <si>
    <t>1. University-Wide is the budget category used to record expenditures for Fringe Benefits, Academic Building Debt Service, University</t>
  </si>
  <si>
    <t xml:space="preserve">    Reserves, Salary Savings, LMHSC Operations, Common Systems, and Liability, Property, and Worker's Compensation Insurance</t>
  </si>
  <si>
    <t xml:space="preserve">    Expenditure pools.</t>
  </si>
  <si>
    <t xml:space="preserve">2. Fringe Benefits &amp; Other includes expenditure budgets for Debt Service, Sales Credits, and Financial Aid. </t>
  </si>
  <si>
    <t>3. GPR Fringe Benefits and Debt Service are estimated.</t>
  </si>
  <si>
    <t>Fiscal Year 2017-18</t>
  </si>
  <si>
    <t>Electric Energy Derived from Renewable Resources</t>
  </si>
  <si>
    <t>Fr. Benefits &amp;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</si>
</sst>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#,##0_);[Red]\(#,##0\);_(* &quot;-&quot;_)"/>
  </numFmts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left"/>
    </xf>
    <xf numFmtId="41" fontId="3" fillId="0" borderId="1" xfId="0" applyNumberFormat="1" applyFont="1" applyBorder="1"/>
    <xf numFmtId="10" fontId="3" fillId="0" borderId="1" xfId="0" applyNumberFormat="1" applyFont="1" applyBorder="1"/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10" fontId="1" fillId="0" borderId="1" xfId="0" applyNumberFormat="1" applyFont="1" applyBorder="1"/>
    <xf numFmtId="41" fontId="3" fillId="0" borderId="0" xfId="0" applyNumberFormat="1" applyFont="1"/>
    <xf numFmtId="10" fontId="3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38" fontId="3" fillId="0" borderId="1" xfId="0" applyNumberFormat="1" applyFont="1" applyBorder="1"/>
    <xf numFmtId="38" fontId="1" fillId="0" borderId="1" xfId="0" applyNumberFormat="1" applyFont="1" applyBorder="1"/>
    <xf numFmtId="0" fontId="1" fillId="0" borderId="1" xfId="0" applyFont="1" applyBorder="1" applyAlignment="1">
      <alignment horizontal="left" indent="1"/>
    </xf>
    <xf numFmtId="38" fontId="3" fillId="0" borderId="0" xfId="0" applyNumberFormat="1" applyFont="1"/>
    <xf numFmtId="37" fontId="3" fillId="0" borderId="1" xfId="0" applyNumberFormat="1" applyFont="1" applyBorder="1"/>
    <xf numFmtId="164" fontId="3" fillId="0" borderId="1" xfId="1" applyNumberFormat="1" applyFont="1" applyBorder="1"/>
    <xf numFmtId="164" fontId="3" fillId="0" borderId="1" xfId="1" applyNumberFormat="1" applyFont="1" applyFill="1" applyBorder="1"/>
    <xf numFmtId="164" fontId="1" fillId="0" borderId="1" xfId="1" applyNumberFormat="1" applyFont="1" applyBorder="1"/>
    <xf numFmtId="0" fontId="7" fillId="0" borderId="1" xfId="0" applyFont="1" applyBorder="1"/>
    <xf numFmtId="38" fontId="7" fillId="0" borderId="1" xfId="0" applyNumberFormat="1" applyFont="1" applyBorder="1"/>
    <xf numFmtId="10" fontId="7" fillId="0" borderId="1" xfId="0" applyNumberFormat="1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41" fontId="7" fillId="0" borderId="1" xfId="0" applyNumberFormat="1" applyFont="1" applyBorder="1"/>
    <xf numFmtId="0" fontId="8" fillId="0" borderId="1" xfId="0" applyFont="1" applyBorder="1" applyAlignment="1">
      <alignment horizontal="left" indent="1"/>
    </xf>
    <xf numFmtId="0" fontId="8" fillId="0" borderId="1" xfId="0" applyFont="1" applyBorder="1" applyAlignment="1">
      <alignment horizontal="center"/>
    </xf>
    <xf numFmtId="38" fontId="8" fillId="0" borderId="1" xfId="0" applyNumberFormat="1" applyFont="1" applyBorder="1"/>
    <xf numFmtId="10" fontId="8" fillId="0" borderId="1" xfId="0" applyNumberFormat="1" applyFont="1" applyBorder="1"/>
    <xf numFmtId="165" fontId="6" fillId="0" borderId="1" xfId="0" applyNumberFormat="1" applyFont="1" applyBorder="1"/>
    <xf numFmtId="38" fontId="3" fillId="0" borderId="1" xfId="1" applyNumberFormat="1" applyFont="1" applyBorder="1"/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6" fillId="0" borderId="1" xfId="0" applyFont="1" applyBorder="1" applyAlignment="1">
      <alignment horizontal="center"/>
    </xf>
    <xf numFmtId="0" fontId="1" fillId="0" borderId="2" xfId="0" applyFont="1" applyBorder="1" applyAlignment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6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57150</xdr:rowOff>
        </xdr:from>
        <xdr:to>
          <xdr:col>0</xdr:col>
          <xdr:colOff>1266825</xdr:colOff>
          <xdr:row>2</xdr:row>
          <xdr:rowOff>133350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57150</xdr:rowOff>
        </xdr:from>
        <xdr:to>
          <xdr:col>0</xdr:col>
          <xdr:colOff>1266825</xdr:colOff>
          <xdr:row>2</xdr:row>
          <xdr:rowOff>133350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0</xdr:row>
          <xdr:rowOff>66675</xdr:rowOff>
        </xdr:from>
        <xdr:to>
          <xdr:col>1</xdr:col>
          <xdr:colOff>590550</xdr:colOff>
          <xdr:row>2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0</xdr:row>
          <xdr:rowOff>66675</xdr:rowOff>
        </xdr:from>
        <xdr:to>
          <xdr:col>0</xdr:col>
          <xdr:colOff>1304925</xdr:colOff>
          <xdr:row>2</xdr:row>
          <xdr:rowOff>142875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Visio_2003-2010_Drawing.vsd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Visio_2003-2010_Drawing1.vsd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Visio_2003-2010_Drawing2.vsd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Visio_2003-2010_Drawing3.vsd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abSelected="1" zoomScaleNormal="100" workbookViewId="0">
      <selection activeCell="C20" sqref="C20"/>
    </sheetView>
  </sheetViews>
  <sheetFormatPr defaultColWidth="9.140625" defaultRowHeight="15" x14ac:dyDescent="0.25"/>
  <cols>
    <col min="1" max="1" width="30.140625" style="5" customWidth="1"/>
    <col min="2" max="7" width="13.42578125" style="5" customWidth="1"/>
    <col min="8" max="8" width="10" style="5" bestFit="1" customWidth="1"/>
    <col min="9" max="10" width="9.140625" style="5"/>
    <col min="11" max="16384" width="9.140625" style="6"/>
  </cols>
  <sheetData>
    <row r="1" spans="1:10" s="2" customFormat="1" ht="13.5" customHeight="1" x14ac:dyDescent="0.25">
      <c r="A1" s="44" t="s">
        <v>47</v>
      </c>
      <c r="B1" s="44"/>
      <c r="C1" s="44"/>
      <c r="D1" s="44"/>
      <c r="E1" s="44"/>
      <c r="F1" s="44"/>
      <c r="G1" s="44"/>
      <c r="H1" s="1"/>
      <c r="I1" s="1"/>
      <c r="J1" s="1"/>
    </row>
    <row r="2" spans="1:10" s="2" customFormat="1" ht="13.5" customHeight="1" x14ac:dyDescent="0.25">
      <c r="A2" s="44" t="s">
        <v>0</v>
      </c>
      <c r="B2" s="44"/>
      <c r="C2" s="44"/>
      <c r="D2" s="44"/>
      <c r="E2" s="44"/>
      <c r="F2" s="44"/>
      <c r="G2" s="44"/>
      <c r="H2" s="1"/>
      <c r="I2" s="1"/>
      <c r="J2" s="1"/>
    </row>
    <row r="3" spans="1:10" s="2" customFormat="1" ht="13.5" customHeight="1" x14ac:dyDescent="0.25">
      <c r="A3" s="44" t="s">
        <v>80</v>
      </c>
      <c r="B3" s="44"/>
      <c r="C3" s="44"/>
      <c r="D3" s="44"/>
      <c r="E3" s="44"/>
      <c r="F3" s="44"/>
      <c r="G3" s="44"/>
      <c r="H3" s="1"/>
      <c r="I3" s="1"/>
      <c r="J3" s="1"/>
    </row>
    <row r="4" spans="1:10" s="2" customFormat="1" ht="13.5" customHeight="1" x14ac:dyDescent="0.25">
      <c r="A4" s="45"/>
      <c r="B4" s="45"/>
      <c r="C4" s="45"/>
      <c r="D4" s="45"/>
      <c r="E4" s="45"/>
      <c r="F4" s="45"/>
      <c r="G4" s="45"/>
      <c r="H4" s="1"/>
      <c r="I4" s="1"/>
      <c r="J4" s="1"/>
    </row>
    <row r="5" spans="1:10" ht="27.95" customHeight="1" x14ac:dyDescent="0.25">
      <c r="A5" s="3" t="s">
        <v>1</v>
      </c>
      <c r="B5" s="3" t="s">
        <v>2</v>
      </c>
      <c r="C5" s="3" t="s">
        <v>3</v>
      </c>
      <c r="D5" s="3" t="s">
        <v>4</v>
      </c>
      <c r="E5" s="3" t="s">
        <v>82</v>
      </c>
      <c r="F5" s="3" t="s">
        <v>5</v>
      </c>
      <c r="G5" s="3" t="s">
        <v>6</v>
      </c>
      <c r="H5" s="4"/>
    </row>
    <row r="6" spans="1:10" ht="13.5" customHeight="1" x14ac:dyDescent="0.25">
      <c r="A6" s="25" t="s">
        <v>7</v>
      </c>
      <c r="B6" s="26">
        <v>342391</v>
      </c>
      <c r="C6" s="26">
        <v>60576</v>
      </c>
      <c r="D6" s="26">
        <v>60900</v>
      </c>
      <c r="E6" s="8">
        <v>0</v>
      </c>
      <c r="F6" s="27">
        <f>G6/$G$22</f>
        <v>2.0618954369421472E-3</v>
      </c>
      <c r="G6" s="26">
        <f>B6+C6+D6+E6</f>
        <v>463867</v>
      </c>
      <c r="H6" s="4"/>
    </row>
    <row r="7" spans="1:10" ht="13.5" customHeight="1" x14ac:dyDescent="0.25">
      <c r="A7" s="28"/>
      <c r="B7" s="28"/>
      <c r="C7" s="28"/>
      <c r="D7" s="28"/>
      <c r="E7" s="28"/>
      <c r="F7" s="28"/>
      <c r="G7" s="28"/>
      <c r="H7" s="4"/>
    </row>
    <row r="8" spans="1:10" ht="13.5" customHeight="1" x14ac:dyDescent="0.25">
      <c r="A8" s="29" t="s">
        <v>8</v>
      </c>
      <c r="B8" s="30"/>
      <c r="C8" s="30"/>
      <c r="D8" s="30"/>
      <c r="E8" s="30"/>
      <c r="F8" s="27"/>
      <c r="G8" s="30"/>
    </row>
    <row r="9" spans="1:10" ht="13.5" customHeight="1" x14ac:dyDescent="0.25">
      <c r="A9" s="25" t="s">
        <v>9</v>
      </c>
      <c r="B9" s="26">
        <f>5419816+473659</f>
        <v>5893475</v>
      </c>
      <c r="C9" s="26">
        <f>975155+298662</f>
        <v>1273817</v>
      </c>
      <c r="D9" s="26">
        <f>3623092+1048555</f>
        <v>4671647</v>
      </c>
      <c r="E9" s="26">
        <f>57346587+1010327</f>
        <v>58356914</v>
      </c>
      <c r="F9" s="27">
        <f t="shared" ref="F9:F14" si="0">G9/$G$22</f>
        <v>0.31202156866722952</v>
      </c>
      <c r="G9" s="26">
        <f t="shared" ref="G9:G20" si="1">B9+C9+D9+E9</f>
        <v>70195853</v>
      </c>
      <c r="I9" s="20"/>
    </row>
    <row r="10" spans="1:10" ht="13.5" customHeight="1" x14ac:dyDescent="0.25">
      <c r="A10" s="25" t="s">
        <v>54</v>
      </c>
      <c r="B10" s="26">
        <v>3059427</v>
      </c>
      <c r="C10" s="26">
        <f>370385+22000</f>
        <v>392385</v>
      </c>
      <c r="D10" s="26">
        <f>1649446</f>
        <v>1649446</v>
      </c>
      <c r="E10" s="26">
        <f>527750</f>
        <v>527750</v>
      </c>
      <c r="F10" s="27">
        <f t="shared" si="0"/>
        <v>2.5021020917010358E-2</v>
      </c>
      <c r="G10" s="26">
        <f t="shared" si="1"/>
        <v>5629008</v>
      </c>
      <c r="I10" s="20"/>
    </row>
    <row r="11" spans="1:10" ht="13.5" customHeight="1" x14ac:dyDescent="0.25">
      <c r="A11" s="25" t="s">
        <v>10</v>
      </c>
      <c r="B11" s="26">
        <v>6646571</v>
      </c>
      <c r="C11" s="26">
        <f>270989+35943</f>
        <v>306932</v>
      </c>
      <c r="D11" s="26">
        <f>397133+2500</f>
        <v>399633</v>
      </c>
      <c r="E11" s="26">
        <f>698448</f>
        <v>698448</v>
      </c>
      <c r="F11" s="27">
        <f t="shared" si="0"/>
        <v>3.5789405820539945E-2</v>
      </c>
      <c r="G11" s="26">
        <f t="shared" si="1"/>
        <v>8051584</v>
      </c>
      <c r="I11" s="20"/>
    </row>
    <row r="12" spans="1:10" ht="13.5" customHeight="1" x14ac:dyDescent="0.25">
      <c r="A12" s="25" t="s">
        <v>11</v>
      </c>
      <c r="B12" s="26">
        <f>12623041+31707</f>
        <v>12654748</v>
      </c>
      <c r="C12" s="26">
        <f>566849+82726</f>
        <v>649575</v>
      </c>
      <c r="D12" s="26">
        <v>836489</v>
      </c>
      <c r="E12" s="26">
        <f>1416013</f>
        <v>1416013</v>
      </c>
      <c r="F12" s="27">
        <f t="shared" si="0"/>
        <v>6.9150309206750041E-2</v>
      </c>
      <c r="G12" s="26">
        <f t="shared" si="1"/>
        <v>15556825</v>
      </c>
      <c r="I12" s="20"/>
    </row>
    <row r="13" spans="1:10" ht="13.5" customHeight="1" x14ac:dyDescent="0.25">
      <c r="A13" s="25" t="s">
        <v>12</v>
      </c>
      <c r="B13" s="26">
        <f>16460009+301566</f>
        <v>16761575</v>
      </c>
      <c r="C13" s="26">
        <f>558372+13000+158299</f>
        <v>729671</v>
      </c>
      <c r="D13" s="26">
        <f>2192094+19050</f>
        <v>2211144</v>
      </c>
      <c r="E13" s="26">
        <f>7000+2151867</f>
        <v>2158867</v>
      </c>
      <c r="F13" s="27">
        <f t="shared" si="0"/>
        <v>9.7173599445788503E-2</v>
      </c>
      <c r="G13" s="26">
        <f t="shared" si="1"/>
        <v>21861257</v>
      </c>
      <c r="I13" s="20"/>
    </row>
    <row r="14" spans="1:10" ht="13.5" customHeight="1" x14ac:dyDescent="0.25">
      <c r="A14" s="31" t="s">
        <v>13</v>
      </c>
      <c r="B14" s="26">
        <f>SUM(B9:B13)</f>
        <v>45015796</v>
      </c>
      <c r="C14" s="26">
        <f t="shared" ref="C14:E14" si="2">SUM(C9:C13)</f>
        <v>3352380</v>
      </c>
      <c r="D14" s="26">
        <f t="shared" si="2"/>
        <v>9768359</v>
      </c>
      <c r="E14" s="26">
        <f t="shared" si="2"/>
        <v>63157992</v>
      </c>
      <c r="F14" s="27">
        <f t="shared" si="0"/>
        <v>0.53915590405731839</v>
      </c>
      <c r="G14" s="26">
        <f>B14+C14+D14+E14</f>
        <v>121294527</v>
      </c>
      <c r="I14" s="20"/>
    </row>
    <row r="15" spans="1:10" ht="13.5" customHeight="1" x14ac:dyDescent="0.25">
      <c r="A15" s="32"/>
      <c r="B15" s="26"/>
      <c r="C15" s="26"/>
      <c r="D15" s="26"/>
      <c r="E15" s="26"/>
      <c r="F15" s="27"/>
      <c r="G15" s="26"/>
    </row>
    <row r="16" spans="1:10" ht="13.5" customHeight="1" x14ac:dyDescent="0.25">
      <c r="A16" s="25"/>
      <c r="B16" s="26"/>
      <c r="C16" s="26"/>
      <c r="D16" s="26"/>
      <c r="E16" s="26"/>
      <c r="F16" s="27"/>
      <c r="G16" s="26"/>
    </row>
    <row r="17" spans="1:8" ht="13.5" customHeight="1" x14ac:dyDescent="0.25">
      <c r="A17" s="25" t="s">
        <v>14</v>
      </c>
      <c r="B17" s="26">
        <f>4447909</f>
        <v>4447909</v>
      </c>
      <c r="C17" s="26">
        <f>6641326+15795+188670</f>
        <v>6845791</v>
      </c>
      <c r="D17" s="26">
        <f>11479482+715851</f>
        <v>12195333</v>
      </c>
      <c r="E17" s="26">
        <f>-4335489+15000+566322+660408</f>
        <v>-3093759</v>
      </c>
      <c r="F17" s="27">
        <f>G17/$G$22</f>
        <v>9.0657284083120418E-2</v>
      </c>
      <c r="G17" s="26">
        <f t="shared" si="1"/>
        <v>20395274</v>
      </c>
    </row>
    <row r="18" spans="1:8" ht="13.5" customHeight="1" x14ac:dyDescent="0.25">
      <c r="A18" s="25" t="s">
        <v>15</v>
      </c>
      <c r="B18" s="26">
        <f>6216287+223433</f>
        <v>6439720</v>
      </c>
      <c r="C18" s="26">
        <f>2234094+31264+1535210</f>
        <v>3800568</v>
      </c>
      <c r="D18" s="26">
        <f>19124680+370313</f>
        <v>19494993</v>
      </c>
      <c r="E18" s="26">
        <f>-34465+111281+7243176+3531731</f>
        <v>10851723</v>
      </c>
      <c r="F18" s="27">
        <f>G18/$G$22</f>
        <v>0.18040981218054461</v>
      </c>
      <c r="G18" s="26">
        <f t="shared" si="1"/>
        <v>40587004</v>
      </c>
    </row>
    <row r="19" spans="1:8" ht="13.5" customHeight="1" x14ac:dyDescent="0.25">
      <c r="A19" s="25" t="s">
        <v>16</v>
      </c>
      <c r="B19" s="26">
        <v>1127980</v>
      </c>
      <c r="C19" s="26">
        <f>152048+70324</f>
        <v>222372</v>
      </c>
      <c r="D19" s="26">
        <f>122911</f>
        <v>122911</v>
      </c>
      <c r="E19" s="26">
        <v>164263</v>
      </c>
      <c r="F19" s="27">
        <f>G19/$G$22</f>
        <v>7.2788264465334391E-3</v>
      </c>
      <c r="G19" s="26">
        <f t="shared" si="1"/>
        <v>1637526</v>
      </c>
    </row>
    <row r="20" spans="1:8" x14ac:dyDescent="0.25">
      <c r="A20" s="25" t="s">
        <v>17</v>
      </c>
      <c r="B20" s="26">
        <f>2493279-1152536</f>
        <v>1340743</v>
      </c>
      <c r="C20" s="26">
        <f>14101+4718-245379-31000</f>
        <v>-257560</v>
      </c>
      <c r="D20" s="26">
        <f>6671290+2500000-1431152</f>
        <v>7740138</v>
      </c>
      <c r="E20" s="26">
        <f>-1653518+187844+220735+2163937+293051+9649918+20907670</f>
        <v>31769637</v>
      </c>
      <c r="F20" s="27">
        <f>G20/$G$22</f>
        <v>0.18043627779554106</v>
      </c>
      <c r="G20" s="26">
        <f t="shared" si="1"/>
        <v>40592958</v>
      </c>
    </row>
    <row r="21" spans="1:8" ht="13.5" customHeight="1" x14ac:dyDescent="0.25">
      <c r="A21" s="25"/>
      <c r="B21" s="26"/>
      <c r="C21" s="26"/>
      <c r="D21" s="26"/>
      <c r="E21" s="26"/>
      <c r="F21" s="27"/>
      <c r="G21" s="26"/>
    </row>
    <row r="22" spans="1:8" x14ac:dyDescent="0.25">
      <c r="A22" s="31" t="s">
        <v>6</v>
      </c>
      <c r="B22" s="33">
        <f>SUM(B14:B20) + B6</f>
        <v>58714539</v>
      </c>
      <c r="C22" s="33">
        <f>SUM(C14:C20) + C6</f>
        <v>14024127</v>
      </c>
      <c r="D22" s="33">
        <f>SUM(D14:D20) + D6</f>
        <v>49382634</v>
      </c>
      <c r="E22" s="33">
        <f>SUM(E14:E20) + E6</f>
        <v>102849856</v>
      </c>
      <c r="F22" s="34">
        <f>G22/$G$22</f>
        <v>1</v>
      </c>
      <c r="G22" s="33">
        <f>B22+C22+D22+E22</f>
        <v>224971156</v>
      </c>
    </row>
    <row r="23" spans="1:8" ht="13.5" customHeight="1" x14ac:dyDescent="0.25">
      <c r="B23" s="13"/>
      <c r="C23" s="13"/>
      <c r="D23" s="13"/>
      <c r="E23" s="13"/>
      <c r="F23" s="14"/>
      <c r="G23" s="13"/>
    </row>
    <row r="24" spans="1:8" ht="13.5" customHeight="1" x14ac:dyDescent="0.25">
      <c r="A24" s="5" t="s">
        <v>18</v>
      </c>
      <c r="B24" s="13"/>
      <c r="C24" s="13"/>
      <c r="D24" s="13"/>
      <c r="E24" s="13"/>
      <c r="F24" s="14"/>
      <c r="G24" s="13"/>
    </row>
    <row r="25" spans="1:8" ht="13.5" customHeight="1" x14ac:dyDescent="0.25">
      <c r="A25" s="5" t="s">
        <v>75</v>
      </c>
      <c r="F25" s="14"/>
    </row>
    <row r="26" spans="1:8" ht="13.5" customHeight="1" x14ac:dyDescent="0.25">
      <c r="A26" s="46" t="s">
        <v>76</v>
      </c>
      <c r="B26" s="46"/>
      <c r="C26" s="46"/>
      <c r="D26" s="46"/>
      <c r="E26" s="46"/>
      <c r="F26" s="46"/>
      <c r="G26" s="46"/>
    </row>
    <row r="27" spans="1:8" ht="13.5" customHeight="1" x14ac:dyDescent="0.25">
      <c r="A27" s="5" t="s">
        <v>77</v>
      </c>
    </row>
    <row r="28" spans="1:8" ht="13.5" customHeight="1" x14ac:dyDescent="0.25">
      <c r="A28" s="46" t="s">
        <v>78</v>
      </c>
      <c r="B28" s="46"/>
      <c r="C28" s="46"/>
      <c r="D28" s="46"/>
      <c r="E28" s="46"/>
      <c r="F28" s="46"/>
      <c r="G28" s="46"/>
      <c r="H28" s="46"/>
    </row>
    <row r="29" spans="1:8" ht="13.5" customHeight="1" x14ac:dyDescent="0.25">
      <c r="A29" s="46" t="s">
        <v>79</v>
      </c>
      <c r="B29" s="46"/>
      <c r="C29" s="46"/>
      <c r="D29" s="46"/>
      <c r="E29" s="46"/>
      <c r="F29" s="46"/>
      <c r="G29" s="46"/>
    </row>
    <row r="30" spans="1:8" ht="13.5" customHeight="1" x14ac:dyDescent="0.25"/>
    <row r="31" spans="1:8" ht="13.5" customHeight="1" x14ac:dyDescent="0.25"/>
  </sheetData>
  <mergeCells count="7">
    <mergeCell ref="A1:G1"/>
    <mergeCell ref="A2:G2"/>
    <mergeCell ref="A3:G3"/>
    <mergeCell ref="A4:G4"/>
    <mergeCell ref="A29:G29"/>
    <mergeCell ref="A26:G26"/>
    <mergeCell ref="A28:H28"/>
  </mergeCells>
  <printOptions horizontalCentered="1"/>
  <pageMargins left="0.7" right="0.7" top="0.75" bottom="0.75" header="0.3" footer="0.3"/>
  <pageSetup scale="81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1" shapeId="1025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57150</xdr:rowOff>
              </from>
              <to>
                <xdr:col>0</xdr:col>
                <xdr:colOff>1266825</xdr:colOff>
                <xdr:row>2</xdr:row>
                <xdr:rowOff>133350</xdr:rowOff>
              </to>
            </anchor>
          </objectPr>
        </oleObject>
      </mc:Choice>
      <mc:Fallback>
        <oleObject progId="Visio.Drawing.11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zoomScaleNormal="100" workbookViewId="0">
      <selection activeCell="H23" sqref="H23"/>
    </sheetView>
  </sheetViews>
  <sheetFormatPr defaultColWidth="9.140625" defaultRowHeight="15" x14ac:dyDescent="0.25"/>
  <cols>
    <col min="1" max="1" width="30.7109375" style="5" customWidth="1"/>
    <col min="2" max="6" width="13.140625" style="5" customWidth="1"/>
    <col min="7" max="7" width="13.85546875" style="5" customWidth="1"/>
    <col min="8" max="8" width="10" style="5" bestFit="1" customWidth="1"/>
    <col min="9" max="10" width="9.140625" style="5"/>
    <col min="11" max="16384" width="9.140625" style="6"/>
  </cols>
  <sheetData>
    <row r="1" spans="1:10" s="2" customFormat="1" ht="13.5" customHeight="1" x14ac:dyDescent="0.25">
      <c r="A1" s="44" t="s">
        <v>47</v>
      </c>
      <c r="B1" s="44"/>
      <c r="C1" s="44"/>
      <c r="D1" s="44"/>
      <c r="E1" s="44"/>
      <c r="F1" s="44"/>
      <c r="G1" s="44"/>
      <c r="H1" s="1"/>
      <c r="I1" s="1"/>
      <c r="J1" s="1"/>
    </row>
    <row r="2" spans="1:10" s="2" customFormat="1" ht="13.5" customHeight="1" x14ac:dyDescent="0.25">
      <c r="A2" s="44" t="s">
        <v>19</v>
      </c>
      <c r="B2" s="44"/>
      <c r="C2" s="44"/>
      <c r="D2" s="44"/>
      <c r="E2" s="44"/>
      <c r="F2" s="44"/>
      <c r="G2" s="44"/>
      <c r="H2" s="1"/>
      <c r="I2" s="1"/>
      <c r="J2" s="1"/>
    </row>
    <row r="3" spans="1:10" s="2" customFormat="1" ht="13.5" customHeight="1" x14ac:dyDescent="0.25">
      <c r="A3" s="44" t="s">
        <v>80</v>
      </c>
      <c r="B3" s="44"/>
      <c r="C3" s="44"/>
      <c r="D3" s="44"/>
      <c r="E3" s="44"/>
      <c r="F3" s="44"/>
      <c r="G3" s="44"/>
      <c r="H3" s="1"/>
      <c r="I3" s="1"/>
      <c r="J3" s="1"/>
    </row>
    <row r="4" spans="1:10" s="2" customFormat="1" ht="13.5" customHeight="1" x14ac:dyDescent="0.25">
      <c r="A4" s="45"/>
      <c r="B4" s="45"/>
      <c r="C4" s="45"/>
      <c r="D4" s="45"/>
      <c r="E4" s="45"/>
      <c r="F4" s="45"/>
      <c r="G4" s="45"/>
      <c r="H4" s="1"/>
      <c r="I4" s="1"/>
      <c r="J4" s="1"/>
    </row>
    <row r="5" spans="1:10" ht="27.95" customHeight="1" x14ac:dyDescent="0.25">
      <c r="A5" s="3" t="s">
        <v>1</v>
      </c>
      <c r="B5" s="3" t="s">
        <v>2</v>
      </c>
      <c r="C5" s="3" t="s">
        <v>3</v>
      </c>
      <c r="D5" s="3" t="s">
        <v>4</v>
      </c>
      <c r="E5" s="37" t="s">
        <v>48</v>
      </c>
      <c r="F5" s="3" t="s">
        <v>5</v>
      </c>
      <c r="G5" s="3" t="s">
        <v>6</v>
      </c>
      <c r="H5" s="4"/>
    </row>
    <row r="6" spans="1:10" ht="13.5" customHeight="1" x14ac:dyDescent="0.25">
      <c r="A6" s="10" t="s">
        <v>7</v>
      </c>
      <c r="B6" s="17">
        <v>342391</v>
      </c>
      <c r="C6" s="17">
        <f>56576+4000</f>
        <v>60576</v>
      </c>
      <c r="D6" s="17">
        <f>27000</f>
        <v>27000</v>
      </c>
      <c r="E6" s="17">
        <v>0</v>
      </c>
      <c r="F6" s="9">
        <f>G6/$G$21</f>
        <v>3.9072755965731832E-3</v>
      </c>
      <c r="G6" s="17">
        <f>B6+C6+D6+E6</f>
        <v>429967</v>
      </c>
      <c r="H6" s="4"/>
    </row>
    <row r="7" spans="1:10" ht="13.5" customHeight="1" x14ac:dyDescent="0.25">
      <c r="A7" s="3"/>
      <c r="B7" s="3"/>
      <c r="C7" s="3"/>
      <c r="D7" s="3"/>
      <c r="E7" s="3"/>
      <c r="F7" s="3"/>
      <c r="G7" s="3"/>
      <c r="H7" s="4"/>
    </row>
    <row r="8" spans="1:10" ht="13.5" customHeight="1" x14ac:dyDescent="0.25">
      <c r="A8" s="7" t="s">
        <v>8</v>
      </c>
      <c r="B8" s="8"/>
      <c r="C8" s="8"/>
      <c r="D8" s="8"/>
      <c r="E8" s="8"/>
      <c r="F8" s="9"/>
      <c r="G8" s="8"/>
    </row>
    <row r="9" spans="1:10" ht="13.5" customHeight="1" x14ac:dyDescent="0.25">
      <c r="A9" s="10" t="s">
        <v>9</v>
      </c>
      <c r="B9" s="35">
        <f>4584420+415686</f>
        <v>5000106</v>
      </c>
      <c r="C9" s="35">
        <f>813931+210795</f>
        <v>1024726</v>
      </c>
      <c r="D9" s="17">
        <f>1049229+1039741</f>
        <v>2088970</v>
      </c>
      <c r="E9" s="17">
        <f>0+712696+0+585581</f>
        <v>1298277</v>
      </c>
      <c r="F9" s="9">
        <f t="shared" ref="F9:F14" si="0">G9/$G$21</f>
        <v>8.5531183997187996E-2</v>
      </c>
      <c r="G9" s="17">
        <f t="shared" ref="G9:G19" si="1">B9+C9+D9+E9</f>
        <v>9412079</v>
      </c>
    </row>
    <row r="10" spans="1:10" ht="13.5" customHeight="1" x14ac:dyDescent="0.25">
      <c r="A10" s="10" t="s">
        <v>54</v>
      </c>
      <c r="B10" s="35">
        <v>2417618</v>
      </c>
      <c r="C10" s="35">
        <v>191984</v>
      </c>
      <c r="D10" s="17">
        <f>312749</f>
        <v>312749</v>
      </c>
      <c r="E10" s="17">
        <v>247870</v>
      </c>
      <c r="F10" s="9">
        <f t="shared" si="0"/>
        <v>2.8809018248013997E-2</v>
      </c>
      <c r="G10" s="17">
        <f t="shared" ref="G10" si="2">B10+C10+D10+E10</f>
        <v>3170221</v>
      </c>
    </row>
    <row r="11" spans="1:10" ht="13.5" customHeight="1" x14ac:dyDescent="0.25">
      <c r="A11" s="38" t="s">
        <v>10</v>
      </c>
      <c r="B11" s="35">
        <f>6444640</f>
        <v>6444640</v>
      </c>
      <c r="C11" s="35">
        <f>268669+19943</f>
        <v>288612</v>
      </c>
      <c r="D11" s="35">
        <f>284989+2500</f>
        <v>287489</v>
      </c>
      <c r="E11" s="17">
        <f>633718</f>
        <v>633718</v>
      </c>
      <c r="F11" s="9">
        <f t="shared" si="0"/>
        <v>6.9559014658496982E-2</v>
      </c>
      <c r="G11" s="17">
        <f t="shared" si="1"/>
        <v>7654459</v>
      </c>
    </row>
    <row r="12" spans="1:10" ht="13.5" customHeight="1" x14ac:dyDescent="0.25">
      <c r="A12" s="38" t="s">
        <v>11</v>
      </c>
      <c r="B12" s="35">
        <f>12608041+31707</f>
        <v>12639748</v>
      </c>
      <c r="C12" s="35">
        <f>566849+66921</f>
        <v>633770</v>
      </c>
      <c r="D12" s="17">
        <f>687260</f>
        <v>687260</v>
      </c>
      <c r="E12" s="17">
        <v>1412832</v>
      </c>
      <c r="F12" s="9">
        <f t="shared" si="0"/>
        <v>0.13970591041692376</v>
      </c>
      <c r="G12" s="17">
        <f t="shared" si="1"/>
        <v>15373610</v>
      </c>
    </row>
    <row r="13" spans="1:10" ht="13.5" customHeight="1" x14ac:dyDescent="0.25">
      <c r="A13" s="38" t="s">
        <v>12</v>
      </c>
      <c r="B13" s="17">
        <f>16224737+301566</f>
        <v>16526303</v>
      </c>
      <c r="C13" s="17">
        <f>555641+123839</f>
        <v>679480</v>
      </c>
      <c r="D13" s="17">
        <f>1724433</f>
        <v>1724433</v>
      </c>
      <c r="E13" s="17">
        <f>7000+2052497</f>
        <v>2059497</v>
      </c>
      <c r="F13" s="9">
        <f t="shared" si="0"/>
        <v>0.19074159966689283</v>
      </c>
      <c r="G13" s="17">
        <f t="shared" si="1"/>
        <v>20989713</v>
      </c>
    </row>
    <row r="14" spans="1:10" s="2" customFormat="1" ht="13.5" customHeight="1" x14ac:dyDescent="0.25">
      <c r="A14" s="19" t="s">
        <v>13</v>
      </c>
      <c r="B14" s="18">
        <f>SUM(B9:B13)</f>
        <v>43028415</v>
      </c>
      <c r="C14" s="18">
        <f t="shared" ref="C14:E14" si="3">SUM(C9:C13)</f>
        <v>2818572</v>
      </c>
      <c r="D14" s="18">
        <f t="shared" si="3"/>
        <v>5100901</v>
      </c>
      <c r="E14" s="18">
        <f t="shared" si="3"/>
        <v>5652194</v>
      </c>
      <c r="F14" s="12">
        <f t="shared" si="0"/>
        <v>0.5143467269875156</v>
      </c>
      <c r="G14" s="18">
        <f t="shared" si="1"/>
        <v>56600082</v>
      </c>
      <c r="H14" s="1"/>
      <c r="I14" s="1"/>
      <c r="J14" s="1"/>
    </row>
    <row r="15" spans="1:10" ht="13.5" customHeight="1" x14ac:dyDescent="0.25">
      <c r="A15" s="11"/>
      <c r="B15" s="17"/>
      <c r="C15" s="17"/>
      <c r="D15" s="17"/>
      <c r="E15" s="17"/>
      <c r="F15" s="9"/>
      <c r="G15" s="17"/>
    </row>
    <row r="16" spans="1:10" ht="13.5" customHeight="1" x14ac:dyDescent="0.25">
      <c r="A16" s="38" t="s">
        <v>14</v>
      </c>
      <c r="B16" s="21">
        <v>4193525</v>
      </c>
      <c r="C16" s="21">
        <f>6269478+15795+164970</f>
        <v>6450243</v>
      </c>
      <c r="D16" s="21">
        <f>7093341+710187+166800</f>
        <v>7970328</v>
      </c>
      <c r="E16" s="17">
        <f>-2597076+304863</f>
        <v>-2292213</v>
      </c>
      <c r="F16" s="9">
        <f>G16/$G$21</f>
        <v>0.1483232320992604</v>
      </c>
      <c r="G16" s="17">
        <f t="shared" si="1"/>
        <v>16321883</v>
      </c>
    </row>
    <row r="17" spans="1:8" ht="13.5" customHeight="1" x14ac:dyDescent="0.25">
      <c r="A17" s="10" t="s">
        <v>15</v>
      </c>
      <c r="B17" s="21">
        <f>1905667+42663</f>
        <v>1948330</v>
      </c>
      <c r="C17" s="35">
        <f>138236+70752</f>
        <v>208988</v>
      </c>
      <c r="D17" s="35">
        <f>128871</f>
        <v>128871</v>
      </c>
      <c r="E17" s="17">
        <v>324126</v>
      </c>
      <c r="F17" s="9">
        <f>G17/$G$21</f>
        <v>2.3720936952996229E-2</v>
      </c>
      <c r="G17" s="17">
        <f t="shared" si="1"/>
        <v>2610315</v>
      </c>
    </row>
    <row r="18" spans="1:8" ht="13.5" customHeight="1" x14ac:dyDescent="0.25">
      <c r="A18" s="38" t="s">
        <v>16</v>
      </c>
      <c r="B18" s="21">
        <v>972665</v>
      </c>
      <c r="C18" s="21">
        <f>143358+70324</f>
        <v>213682</v>
      </c>
      <c r="D18" s="21">
        <v>111882</v>
      </c>
      <c r="E18" s="17">
        <v>81245</v>
      </c>
      <c r="F18" s="9">
        <f>G18/$G$21</f>
        <v>1.2535811111799734E-2</v>
      </c>
      <c r="G18" s="17">
        <f t="shared" si="1"/>
        <v>1379474</v>
      </c>
    </row>
    <row r="19" spans="1:8" ht="13.5" customHeight="1" x14ac:dyDescent="0.25">
      <c r="A19" s="38" t="s">
        <v>17</v>
      </c>
      <c r="B19" s="30">
        <f>1738126-470324</f>
        <v>1267802</v>
      </c>
      <c r="C19" s="30">
        <f>14101+4718-64658</f>
        <v>-45839</v>
      </c>
      <c r="D19" s="30">
        <f>1931290-3003</f>
        <v>1928287</v>
      </c>
      <c r="E19" s="30">
        <f>-1653518+62844+293051+9649918+21198394</f>
        <v>29550689</v>
      </c>
      <c r="F19" s="9">
        <f>G19/$G$21</f>
        <v>0.29716601725185487</v>
      </c>
      <c r="G19" s="17">
        <f t="shared" si="1"/>
        <v>32700939</v>
      </c>
    </row>
    <row r="20" spans="1:8" ht="13.5" customHeight="1" x14ac:dyDescent="0.25">
      <c r="A20" s="10"/>
      <c r="B20" s="17"/>
      <c r="C20" s="17"/>
      <c r="D20" s="17"/>
      <c r="E20" s="17"/>
      <c r="F20" s="9"/>
      <c r="G20" s="17"/>
    </row>
    <row r="21" spans="1:8" x14ac:dyDescent="0.25">
      <c r="A21" s="19" t="s">
        <v>6</v>
      </c>
      <c r="B21" s="18">
        <f>SUM(B14:B19) +B6</f>
        <v>51753128</v>
      </c>
      <c r="C21" s="18">
        <f>SUM(C14:C19) +C6</f>
        <v>9706222</v>
      </c>
      <c r="D21" s="18">
        <f>SUM(D14:D19) +D6</f>
        <v>15267269</v>
      </c>
      <c r="E21" s="18">
        <f>SUM(E14:E19) +E6</f>
        <v>33316041</v>
      </c>
      <c r="F21" s="12">
        <f>G21/$G$21</f>
        <v>1</v>
      </c>
      <c r="G21" s="18">
        <f>B21+C21+D21+E21</f>
        <v>110042660</v>
      </c>
    </row>
    <row r="22" spans="1:8" ht="13.5" customHeight="1" x14ac:dyDescent="0.25">
      <c r="B22" s="13"/>
      <c r="C22" s="13"/>
      <c r="D22" s="13"/>
      <c r="E22" s="13"/>
      <c r="F22" s="14"/>
      <c r="G22" s="13"/>
      <c r="H22" s="20"/>
    </row>
    <row r="23" spans="1:8" ht="13.5" customHeight="1" x14ac:dyDescent="0.25">
      <c r="A23" s="5" t="s">
        <v>18</v>
      </c>
      <c r="B23" s="13"/>
      <c r="C23" s="13"/>
      <c r="D23" s="13"/>
      <c r="E23" s="13"/>
      <c r="F23" s="14"/>
      <c r="G23" s="13"/>
    </row>
    <row r="24" spans="1:8" ht="13.5" customHeight="1" x14ac:dyDescent="0.25">
      <c r="A24" s="5" t="s">
        <v>75</v>
      </c>
      <c r="F24" s="14"/>
    </row>
    <row r="25" spans="1:8" ht="13.5" customHeight="1" x14ac:dyDescent="0.25">
      <c r="A25" s="46" t="s">
        <v>76</v>
      </c>
      <c r="B25" s="46"/>
      <c r="C25" s="46"/>
      <c r="D25" s="46"/>
      <c r="E25" s="46"/>
      <c r="F25" s="46"/>
      <c r="G25" s="46"/>
    </row>
    <row r="26" spans="1:8" ht="13.5" customHeight="1" x14ac:dyDescent="0.25">
      <c r="A26" s="5" t="s">
        <v>77</v>
      </c>
    </row>
    <row r="27" spans="1:8" ht="13.5" customHeight="1" x14ac:dyDescent="0.25">
      <c r="A27" s="46" t="s">
        <v>78</v>
      </c>
      <c r="B27" s="46"/>
      <c r="C27" s="46"/>
      <c r="D27" s="46"/>
      <c r="E27" s="46"/>
      <c r="F27" s="46"/>
      <c r="G27" s="46"/>
      <c r="H27" s="46"/>
    </row>
    <row r="28" spans="1:8" ht="13.5" customHeight="1" x14ac:dyDescent="0.25">
      <c r="A28" s="46" t="s">
        <v>79</v>
      </c>
      <c r="B28" s="46"/>
      <c r="C28" s="46"/>
      <c r="D28" s="46"/>
      <c r="E28" s="46"/>
      <c r="F28" s="46"/>
      <c r="G28" s="46"/>
    </row>
    <row r="29" spans="1:8" ht="13.5" customHeight="1" x14ac:dyDescent="0.25">
      <c r="A29" s="46"/>
      <c r="B29" s="46"/>
      <c r="C29" s="46"/>
      <c r="D29" s="46"/>
      <c r="E29" s="46"/>
      <c r="F29" s="46"/>
      <c r="G29" s="46"/>
    </row>
    <row r="30" spans="1:8" ht="13.5" customHeight="1" x14ac:dyDescent="0.25"/>
  </sheetData>
  <mergeCells count="8">
    <mergeCell ref="A28:G28"/>
    <mergeCell ref="A29:G29"/>
    <mergeCell ref="A1:G1"/>
    <mergeCell ref="A2:G2"/>
    <mergeCell ref="A4:G4"/>
    <mergeCell ref="A3:G3"/>
    <mergeCell ref="A25:G25"/>
    <mergeCell ref="A27:H27"/>
  </mergeCells>
  <printOptions horizontalCentered="1"/>
  <pageMargins left="0.7" right="0.7" top="0.75" bottom="0.75" header="0.3" footer="0.3"/>
  <pageSetup scale="75" orientation="portrait" r:id="rId1"/>
  <drawing r:id="rId2"/>
  <legacyDrawing r:id="rId3"/>
  <oleObjects>
    <mc:AlternateContent xmlns:mc="http://schemas.openxmlformats.org/markup-compatibility/2006">
      <mc:Choice Requires="x14">
        <oleObject progId="Visio.Drawing.11" shapeId="2049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57150</xdr:rowOff>
              </from>
              <to>
                <xdr:col>0</xdr:col>
                <xdr:colOff>1266825</xdr:colOff>
                <xdr:row>2</xdr:row>
                <xdr:rowOff>133350</xdr:rowOff>
              </to>
            </anchor>
          </objectPr>
        </oleObject>
      </mc:Choice>
      <mc:Fallback>
        <oleObject progId="Visio.Drawing.11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36"/>
  <sheetViews>
    <sheetView zoomScaleNormal="100" workbookViewId="0">
      <selection activeCell="F29" sqref="F29"/>
    </sheetView>
  </sheetViews>
  <sheetFormatPr defaultColWidth="9.140625" defaultRowHeight="15" x14ac:dyDescent="0.25"/>
  <cols>
    <col min="1" max="1" width="10.7109375" style="5" customWidth="1"/>
    <col min="2" max="2" width="44.5703125" style="5" bestFit="1" customWidth="1"/>
    <col min="3" max="7" width="12.7109375" style="5" customWidth="1"/>
    <col min="8" max="8" width="9.140625" style="5"/>
    <col min="9" max="9" width="12.42578125" style="5" bestFit="1" customWidth="1"/>
    <col min="10" max="16384" width="9.140625" style="6"/>
  </cols>
  <sheetData>
    <row r="1" spans="1:24" s="2" customFormat="1" ht="13.5" customHeight="1" x14ac:dyDescent="0.25">
      <c r="A1" s="44" t="s">
        <v>47</v>
      </c>
      <c r="B1" s="44"/>
      <c r="C1" s="44"/>
      <c r="D1" s="44"/>
      <c r="E1" s="44"/>
      <c r="F1" s="44"/>
      <c r="G1" s="44"/>
      <c r="H1" s="1"/>
      <c r="I1" s="1"/>
    </row>
    <row r="2" spans="1:24" s="2" customFormat="1" ht="13.5" customHeight="1" x14ac:dyDescent="0.25">
      <c r="A2" s="44" t="s">
        <v>22</v>
      </c>
      <c r="B2" s="44"/>
      <c r="C2" s="44"/>
      <c r="D2" s="44"/>
      <c r="E2" s="44"/>
      <c r="F2" s="44"/>
      <c r="G2" s="44"/>
      <c r="H2" s="1"/>
      <c r="I2" s="1"/>
    </row>
    <row r="3" spans="1:24" s="2" customFormat="1" ht="13.5" customHeight="1" x14ac:dyDescent="0.25">
      <c r="A3" s="44" t="s">
        <v>80</v>
      </c>
      <c r="B3" s="44"/>
      <c r="C3" s="44"/>
      <c r="D3" s="44"/>
      <c r="E3" s="44"/>
      <c r="F3" s="44"/>
      <c r="G3" s="44"/>
      <c r="H3" s="1"/>
      <c r="I3" s="1"/>
    </row>
    <row r="4" spans="1:24" s="2" customFormat="1" ht="13.5" customHeight="1" x14ac:dyDescent="0.25">
      <c r="A4" s="45"/>
      <c r="B4" s="45"/>
      <c r="C4" s="45"/>
      <c r="D4" s="45"/>
      <c r="E4" s="45"/>
      <c r="F4" s="45"/>
      <c r="G4" s="4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27.95" customHeight="1" x14ac:dyDescent="0.25">
      <c r="A5" s="3" t="s">
        <v>20</v>
      </c>
      <c r="B5" s="3" t="s">
        <v>21</v>
      </c>
      <c r="C5" s="3" t="s">
        <v>2</v>
      </c>
      <c r="D5" s="3" t="s">
        <v>3</v>
      </c>
      <c r="E5" s="3" t="s">
        <v>4</v>
      </c>
      <c r="F5" s="3" t="s">
        <v>49</v>
      </c>
      <c r="G5" s="3" t="s">
        <v>6</v>
      </c>
      <c r="H5" s="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3.5" customHeight="1" x14ac:dyDescent="0.25">
      <c r="A6" s="39" t="s">
        <v>55</v>
      </c>
      <c r="B6" s="16" t="s">
        <v>23</v>
      </c>
      <c r="C6" s="35">
        <v>39063686</v>
      </c>
      <c r="D6" s="35">
        <v>8699456</v>
      </c>
      <c r="E6" s="22">
        <v>5113141</v>
      </c>
      <c r="F6" s="22">
        <v>16922933</v>
      </c>
      <c r="G6" s="22">
        <f>C6+D6+E6+F6</f>
        <v>69799216</v>
      </c>
      <c r="H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3.5" customHeight="1" x14ac:dyDescent="0.25">
      <c r="A7" s="39" t="s">
        <v>56</v>
      </c>
      <c r="B7" s="10" t="s">
        <v>24</v>
      </c>
      <c r="C7" s="35">
        <v>0</v>
      </c>
      <c r="D7" s="35">
        <v>0</v>
      </c>
      <c r="E7" s="22">
        <v>2528060</v>
      </c>
      <c r="F7" s="22">
        <v>0</v>
      </c>
      <c r="G7" s="22">
        <f>C7+D7+E7+F7</f>
        <v>2528060</v>
      </c>
      <c r="H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3.5" customHeight="1" x14ac:dyDescent="0.25">
      <c r="A8" s="39" t="s">
        <v>57</v>
      </c>
      <c r="B8" s="10" t="s">
        <v>25</v>
      </c>
      <c r="C8" s="35">
        <v>0</v>
      </c>
      <c r="D8" s="35">
        <v>0</v>
      </c>
      <c r="E8" s="22">
        <v>0</v>
      </c>
      <c r="F8" s="22">
        <v>9649918</v>
      </c>
      <c r="G8" s="22">
        <f t="shared" ref="G8:G25" si="0">C8+D8+E8+F8</f>
        <v>9649918</v>
      </c>
      <c r="H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3.5" customHeight="1" x14ac:dyDescent="0.25">
      <c r="A9" s="39">
        <v>118</v>
      </c>
      <c r="B9" s="43" t="s">
        <v>81</v>
      </c>
      <c r="C9" s="35">
        <v>0</v>
      </c>
      <c r="D9" s="35">
        <v>0</v>
      </c>
      <c r="E9" s="22">
        <v>166800</v>
      </c>
      <c r="F9" s="22">
        <v>0</v>
      </c>
      <c r="G9" s="22">
        <f t="shared" si="0"/>
        <v>166800</v>
      </c>
      <c r="H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3.5" customHeight="1" x14ac:dyDescent="0.25">
      <c r="A10" s="39" t="s">
        <v>58</v>
      </c>
      <c r="B10" s="10" t="s">
        <v>26</v>
      </c>
      <c r="C10" s="35">
        <v>0</v>
      </c>
      <c r="D10" s="35">
        <v>0</v>
      </c>
      <c r="E10" s="22">
        <v>0</v>
      </c>
      <c r="F10" s="22">
        <v>7328470</v>
      </c>
      <c r="G10" s="22">
        <f t="shared" si="0"/>
        <v>7328470</v>
      </c>
      <c r="H10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3.5" customHeight="1" x14ac:dyDescent="0.25">
      <c r="A11" s="39" t="s">
        <v>59</v>
      </c>
      <c r="B11" s="10" t="s">
        <v>27</v>
      </c>
      <c r="C11" s="35">
        <v>4231225</v>
      </c>
      <c r="D11" s="35">
        <v>3893570</v>
      </c>
      <c r="E11" s="22">
        <v>25218226</v>
      </c>
      <c r="F11" s="22">
        <v>3282120</v>
      </c>
      <c r="G11" s="22">
        <f t="shared" si="0"/>
        <v>36625141</v>
      </c>
      <c r="H1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3.5" customHeight="1" x14ac:dyDescent="0.25">
      <c r="A12" s="39" t="s">
        <v>60</v>
      </c>
      <c r="B12" s="10" t="s">
        <v>28</v>
      </c>
      <c r="C12" s="35">
        <v>12483198</v>
      </c>
      <c r="D12" s="35">
        <v>990097</v>
      </c>
      <c r="E12" s="22">
        <v>7424148</v>
      </c>
      <c r="F12" s="22">
        <v>6240346</v>
      </c>
      <c r="G12" s="22">
        <f t="shared" si="0"/>
        <v>27137789</v>
      </c>
      <c r="H1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3.5" customHeight="1" x14ac:dyDescent="0.25">
      <c r="A13" s="39" t="s">
        <v>61</v>
      </c>
      <c r="B13" s="10" t="s">
        <v>29</v>
      </c>
      <c r="C13" s="35">
        <v>0</v>
      </c>
      <c r="D13" s="35">
        <v>0</v>
      </c>
      <c r="E13" s="23">
        <v>2900000</v>
      </c>
      <c r="F13" s="23">
        <v>190000</v>
      </c>
      <c r="G13" s="22">
        <f t="shared" si="0"/>
        <v>3090000</v>
      </c>
      <c r="H1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3.5" customHeight="1" x14ac:dyDescent="0.25">
      <c r="A14" s="39" t="s">
        <v>62</v>
      </c>
      <c r="B14" s="10" t="s">
        <v>30</v>
      </c>
      <c r="C14" s="35">
        <v>1150887</v>
      </c>
      <c r="D14" s="35">
        <v>262285</v>
      </c>
      <c r="E14" s="22">
        <v>1854175</v>
      </c>
      <c r="F14" s="36">
        <v>103269</v>
      </c>
      <c r="G14" s="22">
        <f t="shared" si="0"/>
        <v>3370616</v>
      </c>
      <c r="H1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3.5" customHeight="1" x14ac:dyDescent="0.25">
      <c r="A15" s="39" t="s">
        <v>63</v>
      </c>
      <c r="B15" s="10" t="s">
        <v>51</v>
      </c>
      <c r="C15" s="35">
        <v>464890</v>
      </c>
      <c r="D15" s="35">
        <v>26793</v>
      </c>
      <c r="E15" s="22">
        <v>3468792</v>
      </c>
      <c r="F15" s="22">
        <v>2038868</v>
      </c>
      <c r="G15" s="22">
        <f t="shared" si="0"/>
        <v>5999343</v>
      </c>
      <c r="H1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3.5" customHeight="1" x14ac:dyDescent="0.25">
      <c r="A16" s="39" t="s">
        <v>64</v>
      </c>
      <c r="B16" s="10" t="s">
        <v>50</v>
      </c>
      <c r="C16" s="35">
        <v>0</v>
      </c>
      <c r="D16" s="35">
        <v>0</v>
      </c>
      <c r="E16" s="22">
        <v>0</v>
      </c>
      <c r="F16" s="22">
        <v>387709</v>
      </c>
      <c r="G16" s="22">
        <f t="shared" si="0"/>
        <v>387709</v>
      </c>
      <c r="H1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3.5" customHeight="1" x14ac:dyDescent="0.25">
      <c r="A17" s="39" t="s">
        <v>65</v>
      </c>
      <c r="B17" s="10" t="s">
        <v>31</v>
      </c>
      <c r="C17" s="35">
        <v>0</v>
      </c>
      <c r="D17" s="35">
        <v>37502</v>
      </c>
      <c r="E17" s="22">
        <v>73654</v>
      </c>
      <c r="F17" s="22">
        <v>816109</v>
      </c>
      <c r="G17" s="22">
        <f t="shared" si="0"/>
        <v>927265</v>
      </c>
      <c r="H17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3.5" customHeight="1" x14ac:dyDescent="0.25">
      <c r="A18" s="39" t="s">
        <v>66</v>
      </c>
      <c r="B18" s="10" t="s">
        <v>32</v>
      </c>
      <c r="C18" s="35">
        <v>0</v>
      </c>
      <c r="D18" s="35">
        <v>0</v>
      </c>
      <c r="E18" s="22">
        <v>0</v>
      </c>
      <c r="F18" s="22">
        <v>8135000</v>
      </c>
      <c r="G18" s="22">
        <f t="shared" si="0"/>
        <v>8135000</v>
      </c>
      <c r="H18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3.5" customHeight="1" x14ac:dyDescent="0.25">
      <c r="A19" s="39" t="s">
        <v>67</v>
      </c>
      <c r="B19" s="10" t="s">
        <v>33</v>
      </c>
      <c r="C19" s="35">
        <v>0</v>
      </c>
      <c r="D19" s="35">
        <v>0</v>
      </c>
      <c r="E19" s="22">
        <v>0</v>
      </c>
      <c r="F19" s="22">
        <v>46900000</v>
      </c>
      <c r="G19" s="22">
        <f t="shared" si="0"/>
        <v>46900000</v>
      </c>
      <c r="H19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3.5" customHeight="1" x14ac:dyDescent="0.25">
      <c r="A20" s="39" t="s">
        <v>68</v>
      </c>
      <c r="B20" s="10" t="s">
        <v>34</v>
      </c>
      <c r="C20" s="35">
        <v>143552</v>
      </c>
      <c r="D20" s="35">
        <v>89065</v>
      </c>
      <c r="E20" s="22">
        <v>100214</v>
      </c>
      <c r="F20" s="22">
        <v>114693</v>
      </c>
      <c r="G20" s="22">
        <f t="shared" si="0"/>
        <v>447524</v>
      </c>
      <c r="H20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3.5" customHeight="1" x14ac:dyDescent="0.25">
      <c r="A21" s="39" t="s">
        <v>69</v>
      </c>
      <c r="B21" s="10" t="s">
        <v>74</v>
      </c>
      <c r="C21" s="35">
        <v>755153</v>
      </c>
      <c r="D21" s="35">
        <v>0</v>
      </c>
      <c r="E21" s="22">
        <v>500000</v>
      </c>
      <c r="F21" s="22">
        <v>118937</v>
      </c>
      <c r="G21" s="22">
        <f t="shared" si="0"/>
        <v>1374090</v>
      </c>
      <c r="H2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3.5" customHeight="1" x14ac:dyDescent="0.25">
      <c r="A22" s="39" t="s">
        <v>70</v>
      </c>
      <c r="B22" s="10" t="s">
        <v>53</v>
      </c>
      <c r="C22" s="35">
        <v>215704</v>
      </c>
      <c r="D22" s="35">
        <v>8690</v>
      </c>
      <c r="E22" s="22">
        <v>304</v>
      </c>
      <c r="F22" s="22">
        <v>118640</v>
      </c>
      <c r="G22" s="22">
        <f t="shared" si="0"/>
        <v>343338</v>
      </c>
      <c r="H2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3.5" customHeight="1" x14ac:dyDescent="0.25">
      <c r="A23" s="39" t="s">
        <v>71</v>
      </c>
      <c r="B23" s="10" t="s">
        <v>35</v>
      </c>
      <c r="C23" s="35">
        <v>206244</v>
      </c>
      <c r="D23" s="35">
        <v>16669</v>
      </c>
      <c r="E23" s="22">
        <v>35120</v>
      </c>
      <c r="F23" s="22">
        <v>95443</v>
      </c>
      <c r="G23" s="22">
        <f t="shared" si="0"/>
        <v>353476</v>
      </c>
      <c r="H2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3.5" customHeight="1" x14ac:dyDescent="0.25">
      <c r="A24" s="39" t="s">
        <v>72</v>
      </c>
      <c r="B24" s="10" t="s">
        <v>36</v>
      </c>
      <c r="C24" s="35">
        <v>0</v>
      </c>
      <c r="D24" s="35">
        <v>0</v>
      </c>
      <c r="E24" s="22">
        <v>0</v>
      </c>
      <c r="F24" s="22">
        <v>141569</v>
      </c>
      <c r="G24" s="22">
        <f t="shared" si="0"/>
        <v>141569</v>
      </c>
      <c r="H2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3.5" customHeight="1" x14ac:dyDescent="0.25">
      <c r="A25" s="39" t="s">
        <v>73</v>
      </c>
      <c r="B25" s="10" t="s">
        <v>37</v>
      </c>
      <c r="C25" s="35">
        <v>0</v>
      </c>
      <c r="D25" s="35">
        <v>0</v>
      </c>
      <c r="E25" s="22">
        <v>0</v>
      </c>
      <c r="F25" s="22">
        <v>265832</v>
      </c>
      <c r="G25" s="22">
        <f t="shared" si="0"/>
        <v>265832</v>
      </c>
      <c r="H25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3.5" customHeight="1" x14ac:dyDescent="0.25">
      <c r="A26" s="15"/>
      <c r="B26" s="10"/>
      <c r="C26" s="22"/>
      <c r="D26" s="22"/>
      <c r="E26" s="22"/>
      <c r="F26" s="22"/>
      <c r="G26" s="22"/>
      <c r="H2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3.5" customHeight="1" x14ac:dyDescent="0.25">
      <c r="A27" s="11" t="s">
        <v>6</v>
      </c>
      <c r="B27" s="11"/>
      <c r="C27" s="24">
        <f>SUM(C6:C26)</f>
        <v>58714539</v>
      </c>
      <c r="D27" s="24">
        <f t="shared" ref="D27:G27" si="1">SUM(D6:D26)</f>
        <v>14024127</v>
      </c>
      <c r="E27" s="24">
        <f t="shared" si="1"/>
        <v>49382634</v>
      </c>
      <c r="F27" s="24">
        <f t="shared" si="1"/>
        <v>102849856</v>
      </c>
      <c r="G27" s="24">
        <f t="shared" si="1"/>
        <v>224971156</v>
      </c>
      <c r="H27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3.5" customHeight="1" x14ac:dyDescent="0.25">
      <c r="C28" s="13"/>
      <c r="D28" s="13"/>
      <c r="E28" s="13"/>
      <c r="F28" s="13"/>
      <c r="G28" s="13"/>
      <c r="H28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3.5" customHeight="1" x14ac:dyDescent="0.25">
      <c r="A29" s="5" t="s">
        <v>18</v>
      </c>
      <c r="C29" s="13"/>
      <c r="D29" s="13"/>
      <c r="E29" s="13"/>
      <c r="F29" s="13"/>
      <c r="G29" s="13"/>
      <c r="H2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3.5" customHeight="1" x14ac:dyDescent="0.25">
      <c r="A30" s="46" t="s">
        <v>52</v>
      </c>
      <c r="B30" s="46"/>
      <c r="C30" s="46"/>
      <c r="D30" s="46"/>
      <c r="E30" s="46"/>
      <c r="F30" s="46"/>
      <c r="G30" s="4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3.5" customHeight="1" x14ac:dyDescent="0.25"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3.5" customHeight="1" x14ac:dyDescent="0.25"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9:24" ht="13.5" customHeight="1" x14ac:dyDescent="0.25"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9:24" ht="13.5" customHeight="1" x14ac:dyDescent="0.25"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9:24" ht="13.5" customHeight="1" x14ac:dyDescent="0.25"/>
    <row r="36" spans="9:24" ht="13.5" customHeight="1" x14ac:dyDescent="0.25"/>
  </sheetData>
  <mergeCells count="5">
    <mergeCell ref="A30:G30"/>
    <mergeCell ref="A1:G1"/>
    <mergeCell ref="A2:G2"/>
    <mergeCell ref="A3:G3"/>
    <mergeCell ref="A4:G4"/>
  </mergeCells>
  <printOptions horizontalCentered="1"/>
  <pageMargins left="0.7" right="0.7" top="0.75" bottom="0.75" header="0.3" footer="0.3"/>
  <pageSetup scale="76" orientation="portrait" r:id="rId1"/>
  <drawing r:id="rId2"/>
  <legacyDrawing r:id="rId3"/>
  <oleObjects>
    <mc:AlternateContent xmlns:mc="http://schemas.openxmlformats.org/markup-compatibility/2006">
      <mc:Choice Requires="x14">
        <oleObject progId="Visio.Drawing.11" shapeId="3073" r:id="rId4">
          <objectPr defaultSize="0" autoPict="0" r:id="rId5">
            <anchor moveWithCells="1" sizeWithCells="1">
              <from>
                <xdr:col>0</xdr:col>
                <xdr:colOff>57150</xdr:colOff>
                <xdr:row>0</xdr:row>
                <xdr:rowOff>66675</xdr:rowOff>
              </from>
              <to>
                <xdr:col>1</xdr:col>
                <xdr:colOff>590550</xdr:colOff>
                <xdr:row>2</xdr:row>
                <xdr:rowOff>142875</xdr:rowOff>
              </to>
            </anchor>
          </objectPr>
        </oleObject>
      </mc:Choice>
      <mc:Fallback>
        <oleObject progId="Visio.Drawing.11" shapeId="307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zoomScaleNormal="100" workbookViewId="0">
      <selection activeCell="L30" sqref="L30"/>
    </sheetView>
  </sheetViews>
  <sheetFormatPr defaultColWidth="9.140625" defaultRowHeight="15" x14ac:dyDescent="0.25"/>
  <cols>
    <col min="1" max="1" width="30.7109375" style="5" customWidth="1"/>
    <col min="2" max="10" width="12.7109375" style="5" customWidth="1"/>
    <col min="11" max="11" width="10.28515625" style="5" bestFit="1" customWidth="1"/>
    <col min="12" max="12" width="12.7109375" style="5" customWidth="1"/>
    <col min="13" max="14" width="9.140625" style="5"/>
    <col min="15" max="16384" width="9.140625" style="6"/>
  </cols>
  <sheetData>
    <row r="1" spans="1:14" s="2" customFormat="1" ht="13.5" customHeight="1" x14ac:dyDescent="0.25">
      <c r="A1" s="44" t="s">
        <v>47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1"/>
      <c r="N1" s="1"/>
    </row>
    <row r="2" spans="1:14" s="2" customFormat="1" ht="13.5" customHeight="1" x14ac:dyDescent="0.25">
      <c r="A2" s="44" t="s">
        <v>46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1"/>
      <c r="N2" s="1"/>
    </row>
    <row r="3" spans="1:14" s="2" customFormat="1" ht="13.5" customHeight="1" x14ac:dyDescent="0.25">
      <c r="A3" s="47" t="s">
        <v>80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1"/>
      <c r="N3" s="1"/>
    </row>
    <row r="4" spans="1:14" s="2" customFormat="1" ht="13.5" customHeight="1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1"/>
      <c r="N4" s="1"/>
    </row>
    <row r="5" spans="1:14" ht="32.25" customHeight="1" x14ac:dyDescent="0.25">
      <c r="A5" s="3" t="s">
        <v>1</v>
      </c>
      <c r="B5" s="3" t="s">
        <v>38</v>
      </c>
      <c r="C5" s="3" t="s">
        <v>39</v>
      </c>
      <c r="D5" s="3" t="s">
        <v>42</v>
      </c>
      <c r="E5" s="3" t="s">
        <v>43</v>
      </c>
      <c r="F5" s="3" t="s">
        <v>40</v>
      </c>
      <c r="G5" s="3" t="s">
        <v>45</v>
      </c>
      <c r="H5" s="3" t="s">
        <v>27</v>
      </c>
      <c r="I5" s="3" t="s">
        <v>44</v>
      </c>
      <c r="J5" s="3" t="s">
        <v>41</v>
      </c>
      <c r="K5" s="3" t="s">
        <v>5</v>
      </c>
      <c r="L5" s="3" t="s">
        <v>6</v>
      </c>
    </row>
    <row r="6" spans="1:14" ht="13.5" customHeight="1" x14ac:dyDescent="0.25">
      <c r="A6" s="10" t="s">
        <v>7</v>
      </c>
      <c r="B6" s="17">
        <v>0</v>
      </c>
      <c r="C6" s="17">
        <v>0</v>
      </c>
      <c r="D6" s="17">
        <v>8961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454906</v>
      </c>
      <c r="K6" s="9">
        <f>L6/$L$21</f>
        <v>2.0618954369421472E-3</v>
      </c>
      <c r="L6" s="17">
        <f t="shared" ref="L6" si="0">SUM(B6:J6)</f>
        <v>463867</v>
      </c>
    </row>
    <row r="7" spans="1:14" ht="13.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4" ht="13.5" customHeight="1" x14ac:dyDescent="0.25">
      <c r="A8" s="7" t="s">
        <v>8</v>
      </c>
      <c r="B8" s="8"/>
      <c r="C8" s="8"/>
      <c r="D8" s="8"/>
      <c r="E8" s="8"/>
      <c r="F8" s="8"/>
      <c r="G8" s="8"/>
      <c r="H8" s="8"/>
      <c r="I8" s="8"/>
      <c r="J8" s="8"/>
      <c r="K8" s="9"/>
      <c r="L8" s="8"/>
    </row>
    <row r="9" spans="1:14" ht="13.5" customHeight="1" x14ac:dyDescent="0.25">
      <c r="A9" s="10" t="s">
        <v>9</v>
      </c>
      <c r="B9" s="17">
        <v>3675348</v>
      </c>
      <c r="C9" s="17">
        <v>203089</v>
      </c>
      <c r="D9" s="17">
        <v>157721</v>
      </c>
      <c r="E9" s="17">
        <v>4746728</v>
      </c>
      <c r="F9" s="17">
        <v>3799952</v>
      </c>
      <c r="G9" s="17">
        <v>57346587</v>
      </c>
      <c r="H9" s="17">
        <v>0</v>
      </c>
      <c r="I9" s="17">
        <v>0</v>
      </c>
      <c r="J9" s="17">
        <v>266428</v>
      </c>
      <c r="K9" s="9">
        <f t="shared" ref="K9:K13" si="1">L9/$L$21</f>
        <v>0.31202156866722952</v>
      </c>
      <c r="L9" s="17">
        <f>SUM(B9:J9)</f>
        <v>70195853</v>
      </c>
    </row>
    <row r="10" spans="1:14" ht="13.5" customHeight="1" x14ac:dyDescent="0.25">
      <c r="A10" s="10" t="s">
        <v>54</v>
      </c>
      <c r="B10" s="17">
        <v>3018869</v>
      </c>
      <c r="C10" s="17">
        <v>500</v>
      </c>
      <c r="D10" s="17">
        <v>1270845</v>
      </c>
      <c r="E10" s="17">
        <v>1285017</v>
      </c>
      <c r="F10" s="17">
        <v>53777</v>
      </c>
      <c r="G10" s="17">
        <v>0</v>
      </c>
      <c r="H10" s="17">
        <v>0</v>
      </c>
      <c r="I10" s="17">
        <v>0</v>
      </c>
      <c r="J10" s="17">
        <v>0</v>
      </c>
      <c r="K10" s="9">
        <f t="shared" si="1"/>
        <v>2.5021020917010358E-2</v>
      </c>
      <c r="L10" s="17">
        <f t="shared" ref="L10:L13" si="2">SUM(B10:J10)</f>
        <v>5629008</v>
      </c>
    </row>
    <row r="11" spans="1:14" ht="12.75" customHeight="1" x14ac:dyDescent="0.25">
      <c r="A11" s="10" t="s">
        <v>10</v>
      </c>
      <c r="B11" s="17">
        <v>7099501</v>
      </c>
      <c r="C11" s="17">
        <v>65420</v>
      </c>
      <c r="D11" s="17">
        <v>380452</v>
      </c>
      <c r="E11" s="17">
        <v>496211</v>
      </c>
      <c r="F11" s="17">
        <v>0</v>
      </c>
      <c r="G11" s="17">
        <v>0</v>
      </c>
      <c r="H11" s="17">
        <v>0</v>
      </c>
      <c r="I11" s="17">
        <v>0</v>
      </c>
      <c r="J11" s="17">
        <v>10000</v>
      </c>
      <c r="K11" s="9">
        <f t="shared" si="1"/>
        <v>3.5789405820539945E-2</v>
      </c>
      <c r="L11" s="17">
        <f t="shared" si="2"/>
        <v>8051584</v>
      </c>
    </row>
    <row r="12" spans="1:14" ht="13.5" customHeight="1" x14ac:dyDescent="0.25">
      <c r="A12" s="10" t="s">
        <v>11</v>
      </c>
      <c r="B12" s="17">
        <v>14740443</v>
      </c>
      <c r="C12" s="17">
        <v>0</v>
      </c>
      <c r="D12" s="17">
        <v>79969</v>
      </c>
      <c r="E12" s="17">
        <v>711113</v>
      </c>
      <c r="F12" s="17">
        <v>5000</v>
      </c>
      <c r="G12" s="17">
        <v>0</v>
      </c>
      <c r="H12" s="17">
        <v>0</v>
      </c>
      <c r="I12" s="17">
        <v>0</v>
      </c>
      <c r="J12" s="17">
        <v>20300</v>
      </c>
      <c r="K12" s="9">
        <f t="shared" si="1"/>
        <v>6.9150309206750041E-2</v>
      </c>
      <c r="L12" s="17">
        <f t="shared" si="2"/>
        <v>15556825</v>
      </c>
    </row>
    <row r="13" spans="1:14" ht="13.5" customHeight="1" x14ac:dyDescent="0.25">
      <c r="A13" s="10" t="s">
        <v>12</v>
      </c>
      <c r="B13" s="17">
        <v>20451503</v>
      </c>
      <c r="C13" s="17">
        <v>27874</v>
      </c>
      <c r="D13" s="17">
        <v>86042</v>
      </c>
      <c r="E13" s="17">
        <v>1249632</v>
      </c>
      <c r="F13" s="17">
        <v>10664</v>
      </c>
      <c r="G13" s="17">
        <v>7000</v>
      </c>
      <c r="H13" s="17">
        <v>0</v>
      </c>
      <c r="I13" s="17">
        <v>0</v>
      </c>
      <c r="J13" s="17">
        <v>28542</v>
      </c>
      <c r="K13" s="9">
        <f t="shared" si="1"/>
        <v>9.7173599445788503E-2</v>
      </c>
      <c r="L13" s="17">
        <f t="shared" si="2"/>
        <v>21861257</v>
      </c>
    </row>
    <row r="14" spans="1:14" s="2" customFormat="1" ht="13.5" customHeight="1" x14ac:dyDescent="0.25">
      <c r="A14" s="19" t="s">
        <v>13</v>
      </c>
      <c r="B14" s="18">
        <f>SUM(B9:B13)</f>
        <v>48985664</v>
      </c>
      <c r="C14" s="18">
        <f t="shared" ref="C14:H14" si="3">SUM(C9:C13)</f>
        <v>296883</v>
      </c>
      <c r="D14" s="18">
        <f t="shared" si="3"/>
        <v>1975029</v>
      </c>
      <c r="E14" s="18">
        <f t="shared" si="3"/>
        <v>8488701</v>
      </c>
      <c r="F14" s="18">
        <f>SUM(F9:F13)</f>
        <v>3869393</v>
      </c>
      <c r="G14" s="18">
        <f>SUM(G9:G13)</f>
        <v>57353587</v>
      </c>
      <c r="H14" s="18">
        <f t="shared" si="3"/>
        <v>0</v>
      </c>
      <c r="I14" s="18">
        <f>SUM(I9:I13)</f>
        <v>0</v>
      </c>
      <c r="J14" s="18">
        <f>SUM(J9:J13)</f>
        <v>325270</v>
      </c>
      <c r="K14" s="12">
        <f>L14/$L$21</f>
        <v>0.53915590405731839</v>
      </c>
      <c r="L14" s="18">
        <f>SUM(B14:J14)</f>
        <v>121294527</v>
      </c>
      <c r="M14" s="1"/>
      <c r="N14" s="1"/>
    </row>
    <row r="15" spans="1:14" ht="13.5" customHeight="1" x14ac:dyDescent="0.25">
      <c r="A15" s="11"/>
      <c r="B15" s="17"/>
      <c r="C15" s="17"/>
      <c r="D15" s="17"/>
      <c r="E15" s="17"/>
      <c r="F15" s="17"/>
      <c r="G15" s="17"/>
      <c r="H15" s="17"/>
      <c r="I15" s="17"/>
      <c r="J15" s="17"/>
      <c r="K15" s="9"/>
      <c r="L15" s="17"/>
    </row>
    <row r="16" spans="1:14" ht="13.5" customHeight="1" x14ac:dyDescent="0.25">
      <c r="A16" s="10" t="s">
        <v>14</v>
      </c>
      <c r="B16" s="17">
        <v>1272067</v>
      </c>
      <c r="C16" s="17">
        <v>0</v>
      </c>
      <c r="D16" s="17">
        <v>68912</v>
      </c>
      <c r="E16" s="17">
        <v>4359053</v>
      </c>
      <c r="F16" s="17">
        <v>820913</v>
      </c>
      <c r="G16" s="17">
        <v>15000</v>
      </c>
      <c r="H16" s="17">
        <v>837297</v>
      </c>
      <c r="I16" s="17">
        <v>7278571</v>
      </c>
      <c r="J16" s="17">
        <v>5743461</v>
      </c>
      <c r="K16" s="9">
        <f>L16/$L$21</f>
        <v>9.0657284083120418E-2</v>
      </c>
      <c r="L16" s="17">
        <f t="shared" ref="L16:L19" si="4">SUM(B16:J16)</f>
        <v>20395274</v>
      </c>
    </row>
    <row r="17" spans="1:12" ht="13.5" customHeight="1" x14ac:dyDescent="0.25">
      <c r="A17" s="10" t="s">
        <v>15</v>
      </c>
      <c r="B17" s="17">
        <v>0</v>
      </c>
      <c r="C17" s="17">
        <v>0</v>
      </c>
      <c r="D17" s="17">
        <v>410611</v>
      </c>
      <c r="E17" s="17">
        <v>0</v>
      </c>
      <c r="F17" s="17">
        <v>18053969</v>
      </c>
      <c r="G17" s="17">
        <v>111281</v>
      </c>
      <c r="H17" s="17">
        <v>21633145</v>
      </c>
      <c r="I17" s="17">
        <v>0</v>
      </c>
      <c r="J17" s="17">
        <v>377998</v>
      </c>
      <c r="K17" s="9">
        <f>L17/$L$21</f>
        <v>0.18040981218054461</v>
      </c>
      <c r="L17" s="17">
        <f t="shared" si="4"/>
        <v>40587004</v>
      </c>
    </row>
    <row r="18" spans="1:12" ht="13.5" customHeight="1" x14ac:dyDescent="0.25">
      <c r="A18" s="10" t="s">
        <v>16</v>
      </c>
      <c r="B18" s="17">
        <v>0</v>
      </c>
      <c r="C18" s="17">
        <v>0</v>
      </c>
      <c r="D18" s="17">
        <v>10725</v>
      </c>
      <c r="E18" s="17">
        <v>448954</v>
      </c>
      <c r="F18" s="17">
        <v>0</v>
      </c>
      <c r="G18" s="17">
        <v>0</v>
      </c>
      <c r="H18" s="17">
        <v>0</v>
      </c>
      <c r="I18" s="17">
        <v>0</v>
      </c>
      <c r="J18" s="17">
        <v>1177847</v>
      </c>
      <c r="K18" s="9">
        <f>L18/$L$21</f>
        <v>7.2788264465334391E-3</v>
      </c>
      <c r="L18" s="17">
        <f>SUM(B18:J18)</f>
        <v>1637526</v>
      </c>
    </row>
    <row r="19" spans="1:12" x14ac:dyDescent="0.25">
      <c r="A19" s="10" t="s">
        <v>17</v>
      </c>
      <c r="B19" s="17">
        <f>4607792+12130734</f>
        <v>16738526</v>
      </c>
      <c r="C19" s="17">
        <f>3366283-43857</f>
        <v>3322426</v>
      </c>
      <c r="D19" s="17">
        <f>852433-1483381</f>
        <v>-630948</v>
      </c>
      <c r="E19" s="17">
        <f>1306129+2357945</f>
        <v>3664074</v>
      </c>
      <c r="F19" s="17">
        <f>201602+1388523</f>
        <v>1590125</v>
      </c>
      <c r="G19" s="17">
        <f>187844+293051</f>
        <v>480895</v>
      </c>
      <c r="H19" s="17">
        <f>50000</f>
        <v>50000</v>
      </c>
      <c r="I19" s="17">
        <f>2476303+11486495</f>
        <v>13962798</v>
      </c>
      <c r="J19" s="17">
        <f>-446000+1861062</f>
        <v>1415062</v>
      </c>
      <c r="K19" s="9">
        <f>L19/$L$21</f>
        <v>0.18043627779554106</v>
      </c>
      <c r="L19" s="17">
        <f t="shared" si="4"/>
        <v>40592958</v>
      </c>
    </row>
    <row r="20" spans="1:12" ht="13.5" customHeight="1" x14ac:dyDescent="0.25">
      <c r="A20" s="10"/>
      <c r="B20" s="17"/>
      <c r="C20" s="17"/>
      <c r="D20" s="17"/>
      <c r="E20" s="17"/>
      <c r="F20" s="17"/>
      <c r="G20" s="17"/>
      <c r="H20" s="17"/>
      <c r="I20" s="17"/>
      <c r="J20" s="17"/>
      <c r="K20" s="9"/>
      <c r="L20" s="17"/>
    </row>
    <row r="21" spans="1:12" ht="13.5" customHeight="1" x14ac:dyDescent="0.25">
      <c r="A21" s="19" t="s">
        <v>6</v>
      </c>
      <c r="B21" s="18">
        <f t="shared" ref="B21:H21" si="5">SUM(B14:B19)+B6</f>
        <v>66996257</v>
      </c>
      <c r="C21" s="18">
        <f t="shared" si="5"/>
        <v>3619309</v>
      </c>
      <c r="D21" s="18">
        <f t="shared" si="5"/>
        <v>1843290</v>
      </c>
      <c r="E21" s="18">
        <f t="shared" si="5"/>
        <v>16960782</v>
      </c>
      <c r="F21" s="18">
        <f t="shared" ref="F21:G21" si="6">SUM(F14:F19)+F6</f>
        <v>24334400</v>
      </c>
      <c r="G21" s="18">
        <f t="shared" si="6"/>
        <v>57960763</v>
      </c>
      <c r="H21" s="18">
        <f t="shared" si="5"/>
        <v>22520442</v>
      </c>
      <c r="I21" s="18">
        <f>SUM(I14:I19)+I6</f>
        <v>21241369</v>
      </c>
      <c r="J21" s="18">
        <f>SUM(J14:J19)+J6</f>
        <v>9494544</v>
      </c>
      <c r="K21" s="12">
        <f>L21/$L$21</f>
        <v>1</v>
      </c>
      <c r="L21" s="18">
        <f>SUM(B21:J21)</f>
        <v>224971156</v>
      </c>
    </row>
    <row r="22" spans="1:12" ht="13.5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4"/>
      <c r="L22" s="13"/>
    </row>
    <row r="23" spans="1:12" ht="13.5" customHeight="1" x14ac:dyDescent="0.25">
      <c r="A23" s="5" t="s">
        <v>18</v>
      </c>
      <c r="B23" s="13"/>
      <c r="C23" s="13"/>
      <c r="D23" s="13"/>
      <c r="E23" s="13"/>
      <c r="F23" s="13"/>
      <c r="G23" s="13"/>
      <c r="H23" s="13"/>
      <c r="I23" s="13"/>
      <c r="J23" s="13"/>
      <c r="K23" s="14"/>
      <c r="L23" s="13"/>
    </row>
    <row r="24" spans="1:12" ht="13.5" customHeight="1" x14ac:dyDescent="0.25">
      <c r="A24" s="5" t="s">
        <v>75</v>
      </c>
      <c r="D24" s="14"/>
      <c r="K24" s="14"/>
    </row>
    <row r="25" spans="1:12" ht="13.5" customHeight="1" x14ac:dyDescent="0.25">
      <c r="A25" s="42" t="s">
        <v>76</v>
      </c>
      <c r="B25" s="42"/>
      <c r="C25" s="42"/>
      <c r="D25" s="42"/>
      <c r="E25" s="42"/>
      <c r="F25" s="42"/>
      <c r="G25" s="42"/>
    </row>
    <row r="26" spans="1:12" ht="13.5" customHeight="1" x14ac:dyDescent="0.25">
      <c r="A26" s="5" t="s">
        <v>77</v>
      </c>
    </row>
    <row r="27" spans="1:12" ht="13.5" customHeight="1" x14ac:dyDescent="0.25">
      <c r="A27" s="46"/>
      <c r="B27" s="46"/>
      <c r="C27" s="46"/>
      <c r="D27" s="46"/>
      <c r="E27" s="46"/>
      <c r="F27" s="41"/>
      <c r="G27" s="41"/>
    </row>
  </sheetData>
  <mergeCells count="4">
    <mergeCell ref="A1:L1"/>
    <mergeCell ref="A2:L2"/>
    <mergeCell ref="A3:L3"/>
    <mergeCell ref="A27:E27"/>
  </mergeCells>
  <printOptions horizontalCentered="1"/>
  <pageMargins left="0.4" right="0.4" top="0.5" bottom="0.75" header="0.3" footer="0.3"/>
  <pageSetup scale="77" orientation="landscape" r:id="rId1"/>
  <drawing r:id="rId2"/>
  <legacyDrawing r:id="rId3"/>
  <oleObjects>
    <mc:AlternateContent xmlns:mc="http://schemas.openxmlformats.org/markup-compatibility/2006">
      <mc:Choice Requires="x14">
        <oleObject progId="Visio.Drawing.11" shapeId="4097" r:id="rId4">
          <objectPr defaultSize="0" autoPict="0" r:id="rId5">
            <anchor moveWithCells="1" sizeWithCells="1">
              <from>
                <xdr:col>0</xdr:col>
                <xdr:colOff>57150</xdr:colOff>
                <xdr:row>0</xdr:row>
                <xdr:rowOff>66675</xdr:rowOff>
              </from>
              <to>
                <xdr:col>0</xdr:col>
                <xdr:colOff>1304925</xdr:colOff>
                <xdr:row>2</xdr:row>
                <xdr:rowOff>142875</xdr:rowOff>
              </to>
            </anchor>
          </objectPr>
        </oleObject>
      </mc:Choice>
      <mc:Fallback>
        <oleObject progId="Visio.Drawing.11" shapeId="4097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E610E39D96C344A4903BDB47513A1B" ma:contentTypeVersion="20" ma:contentTypeDescription="Create a new document." ma:contentTypeScope="" ma:versionID="fcee9ed548107c3e4e351c1a10aca02b">
  <xsd:schema xmlns:xsd="http://www.w3.org/2001/XMLSchema" xmlns:xs="http://www.w3.org/2001/XMLSchema" xmlns:p="http://schemas.microsoft.com/office/2006/metadata/properties" xmlns:ns1="http://schemas.microsoft.com/sharepoint/v3" xmlns:ns2="5ea28995-8b9e-4f64-9914-9bc46bbb117a" xmlns:ns3="http://schemas.microsoft.com/sharepoint/v4" xmlns:ns4="70223cc4-264a-4955-842e-0e6de6a0d905" targetNamespace="http://schemas.microsoft.com/office/2006/metadata/properties" ma:root="true" ma:fieldsID="4eaa758ece4f611cdd308fc3ff989406" ns1:_="" ns2:_="" ns3:_="" ns4:_="">
    <xsd:import namespace="http://schemas.microsoft.com/sharepoint/v3"/>
    <xsd:import namespace="5ea28995-8b9e-4f64-9914-9bc46bbb117a"/>
    <xsd:import namespace="http://schemas.microsoft.com/sharepoint/v4"/>
    <xsd:import namespace="70223cc4-264a-4955-842e-0e6de6a0d90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2:TaxKeywordTaxHTField" minOccurs="0"/>
                <xsd:element ref="ns2:TaxCatchAll" minOccurs="0"/>
                <xsd:element ref="ns2:_dlc_DocId" minOccurs="0"/>
                <xsd:element ref="ns2:_dlc_DocIdUrl" minOccurs="0"/>
                <xsd:element ref="ns2:_dlc_DocIdPersistId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0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11" nillable="true" ma:displayName="Number of Ratings" ma:decimals="0" ma:description="Number of ratings submitted" ma:internalName="RatingCount" ma:readOnly="true">
      <xsd:simpleType>
        <xsd:restriction base="dms:Number"/>
      </xsd:simpleType>
    </xsd:element>
    <xsd:element name="RatedBy" ma:index="12" nillable="true" ma:displayName="Rated By" ma:description="Users rated the item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3" nillable="true" ma:displayName="User ratings" ma:description="User ratings for the item" ma:hidden="true" ma:internalName="Ratings">
      <xsd:simpleType>
        <xsd:restriction base="dms:Note"/>
      </xsd:simpleType>
    </xsd:element>
    <xsd:element name="LikesCount" ma:index="14" nillable="true" ma:displayName="Number of Likes" ma:internalName="LikesCount">
      <xsd:simpleType>
        <xsd:restriction base="dms:Unknown"/>
      </xsd:simpleType>
    </xsd:element>
    <xsd:element name="LikedBy" ma:index="15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28995-8b9e-4f64-9914-9bc46bbb11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KeywordTaxHTField" ma:index="17" nillable="true" ma:taxonomy="true" ma:internalName="TaxKeywordTaxHTField" ma:taxonomyFieldName="TaxKeyword" ma:displayName="Enterprise Keywords" ma:fieldId="{23f27201-bee3-471e-b2e7-b64fd8b7ca38}" ma:taxonomyMulti="true" ma:sspId="c74f3122-44b1-41ea-91ad-831baa7c83a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632ed90c-f00c-4295-88f4-47d234c099f6}" ma:internalName="TaxCatchAll" ma:showField="CatchAllData" ma:web="5ea28995-8b9e-4f64-9914-9bc46bbb11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LastSharedByUser" ma:index="24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25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2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23cc4-264a-4955-842e-0e6de6a0d9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28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29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3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ea28995-8b9e-4f64-9914-9bc46bbb117a">BUDGET-18609323-25862</_dlc_DocId>
    <_dlc_DocIdUrl xmlns="5ea28995-8b9e-4f64-9914-9bc46bbb117a">
      <Url>https://uwlax.sharepoint.com/sites/budget-office/_layouts/15/DocIdRedir.aspx?ID=BUDGET-18609323-25862</Url>
      <Description>BUDGET-18609323-25862</Description>
    </_dlc_DocIdUrl>
    <LikesCount xmlns="http://schemas.microsoft.com/sharepoint/v3" xsi:nil="true"/>
    <TaxCatchAll xmlns="5ea28995-8b9e-4f64-9914-9bc46bbb117a"/>
    <IconOverlay xmlns="http://schemas.microsoft.com/sharepoint/v4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  <TaxKeywordTaxHTField xmlns="5ea28995-8b9e-4f64-9914-9bc46bbb117a">
      <Terms xmlns="http://schemas.microsoft.com/office/infopath/2007/PartnerControls"/>
    </TaxKeywordTaxHTField>
    <SharedWithUsers xmlns="5ea28995-8b9e-4f64-9914-9bc46bbb117a">
      <UserInfo>
        <DisplayName>Kristin Stanley</DisplayName>
        <AccountId>16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C9EBFFF-C333-4737-9736-34CE2204FA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93F216-C429-4493-8D40-03FF5A9AB15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0578DF8-57BE-450F-9F96-AA59E4754D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ea28995-8b9e-4f64-9914-9bc46bbb117a"/>
    <ds:schemaRef ds:uri="http://schemas.microsoft.com/sharepoint/v4"/>
    <ds:schemaRef ds:uri="70223cc4-264a-4955-842e-0e6de6a0d9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A87CB4C-6C38-4AFC-BB0D-A667B8E6629F}">
  <ds:schemaRefs>
    <ds:schemaRef ds:uri="http://schemas.microsoft.com/sharepoint/v3"/>
    <ds:schemaRef ds:uri="5ea28995-8b9e-4f64-9914-9bc46bbb117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0223cc4-264a-4955-842e-0e6de6a0d905"/>
    <ds:schemaRef ds:uri="http://purl.org/dc/elements/1.1/"/>
    <ds:schemaRef ds:uri="http://schemas.microsoft.com/office/2006/metadata/properties"/>
    <ds:schemaRef ds:uri="http://schemas.microsoft.com/sharepoint/v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All Funds</vt:lpstr>
      <vt:lpstr>GPR Funds</vt:lpstr>
      <vt:lpstr>By Fund</vt:lpstr>
      <vt:lpstr>By Functional Activity</vt:lpstr>
      <vt:lpstr>'All Funds'!Print_Area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Kristin M</dc:creator>
  <cp:lastModifiedBy>Kelly Buchholz</cp:lastModifiedBy>
  <cp:lastPrinted>2018-05-04T13:47:59Z</cp:lastPrinted>
  <dcterms:created xsi:type="dcterms:W3CDTF">2012-10-02T18:36:47Z</dcterms:created>
  <dcterms:modified xsi:type="dcterms:W3CDTF">2018-05-10T20:27:44Z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0x0101007FE610E39D96C344A4903BDB47513A1B</vt:lpwstr>
  </property>
  <property fmtid="{D5CDD505-2E9C-101B-9397-08002B2CF9AE}" pid="3" name="_dlc_DocIdItemGuid">
    <vt:lpwstr>53829b68-2180-48dc-ac0f-e523558e4f85</vt:lpwstr>
  </property>
  <property fmtid="{D5CDD505-2E9C-101B-9397-08002B2CF9AE}" pid="4" name="TaxKeyword">
    <vt:lpwstr/>
  </property>
</Properties>
</file>