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wlax.sharepoint.com/sites/budget-office/Budget/Budget/2019/"/>
    </mc:Choice>
  </mc:AlternateContent>
  <bookViews>
    <workbookView xWindow="0" yWindow="0" windowWidth="22980" windowHeight="9000" activeTab="3"/>
  </bookViews>
  <sheets>
    <sheet name="All Funds" sheetId="1" r:id="rId1"/>
    <sheet name="GPR Funds" sheetId="5" r:id="rId2"/>
    <sheet name="By Fund" sheetId="4" r:id="rId3"/>
    <sheet name="By Functional Activity" sheetId="6" r:id="rId4"/>
  </sheets>
  <definedNames>
    <definedName name="_xlnm.Print_Area" localSheetId="0">'All Funds'!$A$1:$G$30</definedName>
  </definedNames>
  <calcPr calcId="162913"/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E20" i="6"/>
  <c r="D20" i="6"/>
  <c r="C20" i="6"/>
  <c r="B20" i="6"/>
  <c r="L19" i="6"/>
  <c r="C22" i="5" l="1"/>
  <c r="D22" i="5"/>
  <c r="E22" i="5"/>
  <c r="B22" i="5"/>
  <c r="E20" i="5"/>
  <c r="D20" i="5"/>
  <c r="C20" i="5"/>
  <c r="B20" i="5"/>
  <c r="D13" i="5"/>
  <c r="E13" i="5"/>
  <c r="C13" i="5"/>
  <c r="B13" i="5"/>
  <c r="E12" i="5"/>
  <c r="D12" i="5"/>
  <c r="C12" i="5"/>
  <c r="B12" i="5"/>
  <c r="E11" i="5"/>
  <c r="D11" i="5"/>
  <c r="C11" i="5"/>
  <c r="E16" i="5"/>
  <c r="D16" i="5"/>
  <c r="C16" i="5"/>
  <c r="G19" i="5"/>
  <c r="D19" i="5"/>
  <c r="C19" i="5"/>
  <c r="B19" i="5"/>
  <c r="C18" i="5"/>
  <c r="D17" i="5"/>
  <c r="C17" i="5"/>
  <c r="B17" i="5"/>
  <c r="E10" i="5"/>
  <c r="D10" i="5"/>
  <c r="C10" i="5"/>
  <c r="B10" i="5"/>
  <c r="E9" i="5"/>
  <c r="D9" i="5"/>
  <c r="C9" i="5"/>
  <c r="B9" i="5"/>
  <c r="E21" i="1"/>
  <c r="D21" i="1"/>
  <c r="C21" i="1"/>
  <c r="B21" i="1"/>
  <c r="C23" i="1"/>
  <c r="D23" i="1"/>
  <c r="E23" i="1"/>
  <c r="B23" i="1"/>
  <c r="G20" i="1"/>
  <c r="D20" i="1"/>
  <c r="C20" i="1"/>
  <c r="B20" i="1"/>
  <c r="D19" i="1"/>
  <c r="C19" i="1"/>
  <c r="E18" i="1"/>
  <c r="D18" i="1"/>
  <c r="C18" i="1"/>
  <c r="B18" i="1"/>
  <c r="E17" i="1"/>
  <c r="D17" i="1"/>
  <c r="C17" i="1"/>
  <c r="B17" i="1"/>
  <c r="E13" i="1"/>
  <c r="D13" i="1"/>
  <c r="C13" i="1"/>
  <c r="B13" i="1"/>
  <c r="E12" i="1"/>
  <c r="D12" i="1"/>
  <c r="C12" i="1"/>
  <c r="B12" i="1"/>
  <c r="E11" i="1"/>
  <c r="D11" i="1"/>
  <c r="C11" i="1"/>
  <c r="B11" i="1"/>
  <c r="C10" i="1"/>
  <c r="E10" i="1"/>
  <c r="D10" i="1"/>
  <c r="B10" i="1"/>
  <c r="E9" i="1"/>
  <c r="D9" i="1"/>
  <c r="C9" i="1"/>
  <c r="B9" i="1"/>
  <c r="D6" i="1"/>
  <c r="C23" i="4"/>
  <c r="E20" i="4"/>
  <c r="C20" i="4"/>
  <c r="F15" i="4"/>
  <c r="E15" i="4"/>
  <c r="C15" i="4"/>
  <c r="F14" i="4"/>
  <c r="E14" i="4"/>
  <c r="D14" i="4"/>
  <c r="C14" i="4"/>
  <c r="F13" i="4"/>
  <c r="E13" i="4"/>
  <c r="C12" i="4"/>
  <c r="F12" i="4"/>
  <c r="E12" i="4"/>
  <c r="D12" i="4"/>
  <c r="E11" i="4"/>
  <c r="F11" i="4"/>
  <c r="F6" i="4"/>
  <c r="E6" i="4"/>
  <c r="D11" i="4"/>
  <c r="C11" i="4"/>
  <c r="D6" i="4"/>
  <c r="C6" i="4"/>
  <c r="G23" i="1" l="1"/>
  <c r="F20" i="1" s="1"/>
  <c r="B14" i="5" l="1"/>
  <c r="D6" i="5"/>
  <c r="G9" i="4" l="1"/>
  <c r="G10" i="4"/>
  <c r="G11" i="4"/>
  <c r="G12" i="4"/>
  <c r="G13" i="4"/>
  <c r="D27" i="4"/>
  <c r="E27" i="4"/>
  <c r="F27" i="4"/>
  <c r="C27" i="4"/>
  <c r="L18" i="6" l="1"/>
  <c r="L20" i="6"/>
  <c r="L17" i="6"/>
  <c r="L16" i="6"/>
  <c r="L6" i="6"/>
  <c r="L13" i="6"/>
  <c r="L12" i="6"/>
  <c r="L11" i="6"/>
  <c r="L10" i="6"/>
  <c r="L9" i="6"/>
  <c r="J14" i="6"/>
  <c r="J22" i="6" s="1"/>
  <c r="G14" i="6" l="1"/>
  <c r="G22" i="6" s="1"/>
  <c r="F14" i="6"/>
  <c r="F22" i="6" l="1"/>
  <c r="G21" i="1"/>
  <c r="G20" i="5"/>
  <c r="G10" i="5" l="1"/>
  <c r="G22" i="4"/>
  <c r="G21" i="4"/>
  <c r="G10" i="1"/>
  <c r="E14" i="5" l="1"/>
  <c r="C14" i="5"/>
  <c r="E14" i="1"/>
  <c r="B14" i="1"/>
  <c r="D14" i="5"/>
  <c r="C14" i="6"/>
  <c r="C22" i="6" s="1"/>
  <c r="D14" i="6"/>
  <c r="D22" i="6" s="1"/>
  <c r="E14" i="6"/>
  <c r="E22" i="6" s="1"/>
  <c r="H14" i="6"/>
  <c r="H22" i="6" s="1"/>
  <c r="I14" i="6"/>
  <c r="I22" i="6" s="1"/>
  <c r="B14" i="6"/>
  <c r="G22" i="5" l="1"/>
  <c r="F19" i="5" s="1"/>
  <c r="B22" i="6"/>
  <c r="L22" i="6" s="1"/>
  <c r="L14" i="6"/>
  <c r="D14" i="1"/>
  <c r="C14" i="1"/>
  <c r="G23" i="4"/>
  <c r="K20" i="6" l="1"/>
  <c r="K19" i="6"/>
  <c r="K14" i="6"/>
  <c r="G14" i="1"/>
  <c r="G17" i="4" l="1"/>
  <c r="G8" i="4"/>
  <c r="G16" i="4"/>
  <c r="G18" i="4"/>
  <c r="G19" i="4"/>
  <c r="G20" i="4"/>
  <c r="G24" i="4"/>
  <c r="G25" i="4"/>
  <c r="G7" i="4"/>
  <c r="G6" i="4"/>
  <c r="G6" i="5"/>
  <c r="G14" i="4" l="1"/>
  <c r="G15" i="4"/>
  <c r="G27" i="4"/>
  <c r="G18" i="5"/>
  <c r="G16" i="5"/>
  <c r="G13" i="5"/>
  <c r="G12" i="5"/>
  <c r="G11" i="5"/>
  <c r="G9" i="5"/>
  <c r="G17" i="5"/>
  <c r="G14" i="5" l="1"/>
  <c r="F20" i="5" l="1"/>
  <c r="F6" i="5"/>
  <c r="K6" i="6"/>
  <c r="K11" i="6"/>
  <c r="K22" i="6"/>
  <c r="K9" i="6"/>
  <c r="K18" i="6"/>
  <c r="K12" i="6"/>
  <c r="K17" i="6"/>
  <c r="K10" i="6"/>
  <c r="K13" i="6"/>
  <c r="K16" i="6"/>
  <c r="F10" i="5"/>
  <c r="F18" i="5"/>
  <c r="F11" i="5"/>
  <c r="F16" i="5"/>
  <c r="F12" i="5"/>
  <c r="F17" i="5"/>
  <c r="F13" i="5"/>
  <c r="F22" i="5"/>
  <c r="F14" i="5"/>
  <c r="F9" i="5"/>
  <c r="G9" i="1"/>
  <c r="G11" i="1"/>
  <c r="G12" i="1"/>
  <c r="G13" i="1"/>
  <c r="G17" i="1"/>
  <c r="G18" i="1"/>
  <c r="G19" i="1"/>
  <c r="G6" i="1"/>
  <c r="F10" i="1" l="1"/>
  <c r="F21" i="1"/>
  <c r="F14" i="1"/>
  <c r="F19" i="1"/>
  <c r="F12" i="1"/>
  <c r="F13" i="1"/>
  <c r="F18" i="1"/>
  <c r="F17" i="1"/>
  <c r="F11" i="1"/>
  <c r="F9" i="1"/>
  <c r="F23" i="1"/>
  <c r="F6" i="1"/>
</calcChain>
</file>

<file path=xl/sharedStrings.xml><?xml version="1.0" encoding="utf-8"?>
<sst xmlns="http://schemas.openxmlformats.org/spreadsheetml/2006/main" count="145" uniqueCount="84">
  <si>
    <t>All Funds Budget by Division &amp; College</t>
  </si>
  <si>
    <t>Division</t>
  </si>
  <si>
    <t>Unclassified</t>
  </si>
  <si>
    <t>Classified</t>
  </si>
  <si>
    <t>S&amp;E &amp; Capital</t>
  </si>
  <si>
    <t>Pct.</t>
  </si>
  <si>
    <t>Total</t>
  </si>
  <si>
    <t>Chancellor</t>
  </si>
  <si>
    <t>Academic Affairs</t>
  </si>
  <si>
    <t>Provost</t>
  </si>
  <si>
    <t>College of Business Administration</t>
  </si>
  <si>
    <t>College of Liberal Studies</t>
  </si>
  <si>
    <t>College of Science &amp; Health</t>
  </si>
  <si>
    <t>Total Academic Affairs</t>
  </si>
  <si>
    <t>Administration &amp; Finance</t>
  </si>
  <si>
    <t>Student Affairs</t>
  </si>
  <si>
    <t>University Advancement</t>
  </si>
  <si>
    <t>University-Wide</t>
  </si>
  <si>
    <t>Notes:</t>
  </si>
  <si>
    <t>GPR Budget by Division</t>
  </si>
  <si>
    <t>Fund</t>
  </si>
  <si>
    <t>Fund Source</t>
  </si>
  <si>
    <t>All Funds Budget Summary</t>
  </si>
  <si>
    <t>GPR-Comprehensives</t>
  </si>
  <si>
    <t>Energy Costs</t>
  </si>
  <si>
    <t>Academic Debt Service</t>
  </si>
  <si>
    <t>Auxiliary Debt Service</t>
  </si>
  <si>
    <t>Auxiliary Enterprises</t>
  </si>
  <si>
    <t>Academic Fees</t>
  </si>
  <si>
    <t>Private Grants &amp; Contracts</t>
  </si>
  <si>
    <t>General Operations Receipts</t>
  </si>
  <si>
    <t>Federal Perkins Loan</t>
  </si>
  <si>
    <t>Federal Pell Grants</t>
  </si>
  <si>
    <t>Direct Student Loans</t>
  </si>
  <si>
    <t>Federal Indirect Cost</t>
  </si>
  <si>
    <t>Minority &amp; Disadvantaged Programs</t>
  </si>
  <si>
    <t>Grad Advanced Opportunity Grants</t>
  </si>
  <si>
    <t>UG Lawton Minority Grants</t>
  </si>
  <si>
    <t>Instruction</t>
  </si>
  <si>
    <t>Research</t>
  </si>
  <si>
    <t>Student Services</t>
  </si>
  <si>
    <t>Institutional Support</t>
  </si>
  <si>
    <t>Public Service</t>
  </si>
  <si>
    <t>Academic Support</t>
  </si>
  <si>
    <t>Physical Plant</t>
  </si>
  <si>
    <t>Financial Aid</t>
  </si>
  <si>
    <t>All Funds Budget by Expenditure Function</t>
  </si>
  <si>
    <t>University of Wisconsin-La Crosse</t>
  </si>
  <si>
    <t>Fr. Benefits    &amp; Other</t>
  </si>
  <si>
    <t>Fr. Benefits     &amp; Other</t>
  </si>
  <si>
    <t>Federal Ed Opportunity Grants</t>
  </si>
  <si>
    <t>Federal Ed Grants &amp; Contracts</t>
  </si>
  <si>
    <t xml:space="preserve">1. Fringe Benefits &amp; Other includes expenditure budgets for Debt Service, Sales Credits, and Financial Aid. </t>
  </si>
  <si>
    <t>Foundation Related Accounts</t>
  </si>
  <si>
    <t>School of Education</t>
  </si>
  <si>
    <t>102</t>
  </si>
  <si>
    <t>109</t>
  </si>
  <si>
    <t>110</t>
  </si>
  <si>
    <t>123</t>
  </si>
  <si>
    <t>128</t>
  </si>
  <si>
    <t>131</t>
  </si>
  <si>
    <t>133</t>
  </si>
  <si>
    <t>136</t>
  </si>
  <si>
    <t>144</t>
  </si>
  <si>
    <t>146</t>
  </si>
  <si>
    <t>147</t>
  </si>
  <si>
    <t>148</t>
  </si>
  <si>
    <t>149</t>
  </si>
  <si>
    <t>150</t>
  </si>
  <si>
    <t>231</t>
  </si>
  <si>
    <t>233</t>
  </si>
  <si>
    <t>402</t>
  </si>
  <si>
    <t>403</t>
  </si>
  <si>
    <t>406</t>
  </si>
  <si>
    <t>Academic Student Fees - Carryforward Contribution</t>
  </si>
  <si>
    <t>1. University-Wide is the budget category used to record expenditures for Fringe Benefits, Academic Building Debt Service, University</t>
  </si>
  <si>
    <t xml:space="preserve">    Reserves, Salary Savings, LMHSC Operations, Common Systems, and Liability, Property, and Worker's Compensation Insurance</t>
  </si>
  <si>
    <t xml:space="preserve">    Expenditure pools.</t>
  </si>
  <si>
    <t xml:space="preserve">2. Fringe Benefits &amp; Other includes expenditure budgets for Debt Service, Sales Credits, and Financial Aid. </t>
  </si>
  <si>
    <t>3. GPR Fringe Benefits and Debt Service are estimated.</t>
  </si>
  <si>
    <t>Electric Energy Derived from Renewable Resources</t>
  </si>
  <si>
    <t>Fr. Benefits &amp; Other</t>
  </si>
  <si>
    <t>Fiscal Year 2018-19</t>
  </si>
  <si>
    <t>Diversity &amp; Inclusion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</si>
</sst>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);[Red]\(#,##0\);_(* &quot;-&quot;_)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left"/>
    </xf>
    <xf numFmtId="41" fontId="3" fillId="0" borderId="1" xfId="0" applyNumberFormat="1" applyFont="1" applyBorder="1"/>
    <xf numFmtId="10" fontId="3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/>
    <xf numFmtId="41" fontId="3" fillId="0" borderId="0" xfId="0" applyNumberFormat="1" applyFont="1"/>
    <xf numFmtId="10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8" fontId="3" fillId="0" borderId="1" xfId="0" applyNumberFormat="1" applyFont="1" applyBorder="1"/>
    <xf numFmtId="38" fontId="1" fillId="0" borderId="1" xfId="0" applyNumberFormat="1" applyFont="1" applyBorder="1"/>
    <xf numFmtId="0" fontId="1" fillId="0" borderId="1" xfId="0" applyFont="1" applyBorder="1" applyAlignment="1">
      <alignment horizontal="left" indent="1"/>
    </xf>
    <xf numFmtId="38" fontId="3" fillId="0" borderId="0" xfId="0" applyNumberFormat="1" applyFont="1"/>
    <xf numFmtId="37" fontId="3" fillId="0" borderId="1" xfId="0" applyNumberFormat="1" applyFont="1" applyBorder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164" fontId="1" fillId="0" borderId="1" xfId="1" applyNumberFormat="1" applyFont="1" applyBorder="1"/>
    <xf numFmtId="0" fontId="7" fillId="0" borderId="1" xfId="0" applyFont="1" applyBorder="1"/>
    <xf numFmtId="38" fontId="7" fillId="0" borderId="1" xfId="0" applyNumberFormat="1" applyFont="1" applyBorder="1"/>
    <xf numFmtId="10" fontId="7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41" fontId="7" fillId="0" borderId="1" xfId="0" applyNumberFormat="1" applyFont="1" applyBorder="1"/>
    <xf numFmtId="0" fontId="8" fillId="0" borderId="1" xfId="0" applyFont="1" applyBorder="1" applyAlignment="1">
      <alignment horizontal="left" indent="1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/>
    <xf numFmtId="10" fontId="8" fillId="0" borderId="1" xfId="0" applyNumberFormat="1" applyFont="1" applyBorder="1"/>
    <xf numFmtId="165" fontId="6" fillId="0" borderId="1" xfId="0" applyNumberFormat="1" applyFont="1" applyBorder="1"/>
    <xf numFmtId="38" fontId="3" fillId="0" borderId="1" xfId="1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1" fillId="0" borderId="2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57150</xdr:rowOff>
        </xdr:from>
        <xdr:to>
          <xdr:col>0</xdr:col>
          <xdr:colOff>1266825</xdr:colOff>
          <xdr:row>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57150</xdr:rowOff>
        </xdr:from>
        <xdr:to>
          <xdr:col>0</xdr:col>
          <xdr:colOff>1266825</xdr:colOff>
          <xdr:row>2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66675</xdr:rowOff>
        </xdr:from>
        <xdr:to>
          <xdr:col>1</xdr:col>
          <xdr:colOff>590550</xdr:colOff>
          <xdr:row>2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66675</xdr:rowOff>
        </xdr:from>
        <xdr:to>
          <xdr:col>0</xdr:col>
          <xdr:colOff>1304925</xdr:colOff>
          <xdr:row>2</xdr:row>
          <xdr:rowOff>142875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.vsd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1.vsd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2.vsd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3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D33" sqref="D33"/>
    </sheetView>
  </sheetViews>
  <sheetFormatPr defaultColWidth="9.140625" defaultRowHeight="15" x14ac:dyDescent="0.25"/>
  <cols>
    <col min="1" max="1" width="30.140625" style="5" customWidth="1"/>
    <col min="2" max="7" width="13.42578125" style="5" customWidth="1"/>
    <col min="8" max="8" width="10" style="5" bestFit="1" customWidth="1"/>
    <col min="9" max="10" width="9.140625" style="5"/>
    <col min="11" max="16384" width="9.140625" style="6"/>
  </cols>
  <sheetData>
    <row r="1" spans="1:10" s="2" customFormat="1" ht="13.5" customHeight="1" x14ac:dyDescent="0.25">
      <c r="A1" s="44" t="s">
        <v>47</v>
      </c>
      <c r="B1" s="44"/>
      <c r="C1" s="44"/>
      <c r="D1" s="44"/>
      <c r="E1" s="44"/>
      <c r="F1" s="44"/>
      <c r="G1" s="44"/>
      <c r="H1" s="1"/>
      <c r="I1" s="1"/>
      <c r="J1" s="1"/>
    </row>
    <row r="2" spans="1:10" s="2" customFormat="1" ht="13.5" customHeight="1" x14ac:dyDescent="0.25">
      <c r="A2" s="44" t="s">
        <v>0</v>
      </c>
      <c r="B2" s="44"/>
      <c r="C2" s="44"/>
      <c r="D2" s="44"/>
      <c r="E2" s="44"/>
      <c r="F2" s="44"/>
      <c r="G2" s="44"/>
      <c r="H2" s="1"/>
      <c r="I2" s="1"/>
      <c r="J2" s="1"/>
    </row>
    <row r="3" spans="1:10" s="2" customFormat="1" ht="13.5" customHeight="1" x14ac:dyDescent="0.25">
      <c r="A3" s="44" t="s">
        <v>82</v>
      </c>
      <c r="B3" s="44"/>
      <c r="C3" s="44"/>
      <c r="D3" s="44"/>
      <c r="E3" s="44"/>
      <c r="F3" s="44"/>
      <c r="G3" s="44"/>
      <c r="H3" s="1"/>
      <c r="I3" s="1"/>
      <c r="J3" s="1"/>
    </row>
    <row r="4" spans="1:10" s="2" customFormat="1" ht="13.5" customHeight="1" x14ac:dyDescent="0.25">
      <c r="A4" s="45"/>
      <c r="B4" s="45"/>
      <c r="C4" s="45"/>
      <c r="D4" s="45"/>
      <c r="E4" s="45"/>
      <c r="F4" s="45"/>
      <c r="G4" s="45"/>
      <c r="H4" s="1"/>
      <c r="I4" s="1"/>
      <c r="J4" s="1"/>
    </row>
    <row r="5" spans="1:10" ht="27.9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81</v>
      </c>
      <c r="F5" s="3" t="s">
        <v>5</v>
      </c>
      <c r="G5" s="3" t="s">
        <v>6</v>
      </c>
      <c r="H5" s="4"/>
    </row>
    <row r="6" spans="1:10" ht="13.5" customHeight="1" x14ac:dyDescent="0.25">
      <c r="A6" s="25" t="s">
        <v>7</v>
      </c>
      <c r="B6" s="26">
        <v>415216</v>
      </c>
      <c r="C6" s="26">
        <v>4000</v>
      </c>
      <c r="D6" s="26">
        <f>60900</f>
        <v>60900</v>
      </c>
      <c r="E6" s="8">
        <v>0</v>
      </c>
      <c r="F6" s="27">
        <f>G6/$G$23</f>
        <v>2.1131026164488038E-3</v>
      </c>
      <c r="G6" s="26">
        <f>B6+C6+D6+E6</f>
        <v>480116</v>
      </c>
      <c r="H6" s="4"/>
    </row>
    <row r="7" spans="1:10" ht="13.5" customHeight="1" x14ac:dyDescent="0.25">
      <c r="A7" s="28"/>
      <c r="B7" s="28"/>
      <c r="C7" s="28"/>
      <c r="D7" s="28"/>
      <c r="E7" s="28"/>
      <c r="F7" s="28"/>
      <c r="G7" s="28"/>
      <c r="H7" s="4"/>
    </row>
    <row r="8" spans="1:10" ht="13.5" customHeight="1" x14ac:dyDescent="0.25">
      <c r="A8" s="29" t="s">
        <v>8</v>
      </c>
      <c r="B8" s="30"/>
      <c r="C8" s="30"/>
      <c r="D8" s="30"/>
      <c r="E8" s="30"/>
      <c r="F8" s="27"/>
      <c r="G8" s="30"/>
    </row>
    <row r="9" spans="1:10" ht="13.5" customHeight="1" x14ac:dyDescent="0.25">
      <c r="A9" s="25" t="s">
        <v>9</v>
      </c>
      <c r="B9" s="26">
        <f>5853126+560224</f>
        <v>6413350</v>
      </c>
      <c r="C9" s="26">
        <f>930129+289458</f>
        <v>1219587</v>
      </c>
      <c r="D9" s="26">
        <f>3653405+1056026</f>
        <v>4709431</v>
      </c>
      <c r="E9" s="26">
        <f>939094+56851175</f>
        <v>57790269</v>
      </c>
      <c r="F9" s="27">
        <f t="shared" ref="F9:F14" si="0">G9/$G$23</f>
        <v>0.30867011043821535</v>
      </c>
      <c r="G9" s="26">
        <f t="shared" ref="G9:G21" si="1">B9+C9+D9+E9</f>
        <v>70132637</v>
      </c>
      <c r="I9" s="20"/>
    </row>
    <row r="10" spans="1:10" ht="13.5" customHeight="1" x14ac:dyDescent="0.25">
      <c r="A10" s="25" t="s">
        <v>54</v>
      </c>
      <c r="B10" s="26">
        <f>3513283</f>
        <v>3513283</v>
      </c>
      <c r="C10" s="26">
        <f>350064+38320</f>
        <v>388384</v>
      </c>
      <c r="D10" s="26">
        <f>1278583</f>
        <v>1278583</v>
      </c>
      <c r="E10" s="26">
        <f>565842+179280</f>
        <v>745122</v>
      </c>
      <c r="F10" s="27">
        <f t="shared" si="0"/>
        <v>2.6078945664448763E-2</v>
      </c>
      <c r="G10" s="26">
        <f t="shared" si="1"/>
        <v>5925372</v>
      </c>
      <c r="I10" s="20"/>
    </row>
    <row r="11" spans="1:10" ht="13.5" customHeight="1" x14ac:dyDescent="0.25">
      <c r="A11" s="25" t="s">
        <v>10</v>
      </c>
      <c r="B11" s="26">
        <f>6730298</f>
        <v>6730298</v>
      </c>
      <c r="C11" s="26">
        <f>257046+19943</f>
        <v>276989</v>
      </c>
      <c r="D11" s="26">
        <f>355274+2500</f>
        <v>357774</v>
      </c>
      <c r="E11" s="26">
        <f>698023</f>
        <v>698023</v>
      </c>
      <c r="F11" s="27">
        <f t="shared" si="0"/>
        <v>3.5487515302648709E-2</v>
      </c>
      <c r="G11" s="26">
        <f t="shared" si="1"/>
        <v>8063084</v>
      </c>
      <c r="I11" s="20"/>
    </row>
    <row r="12" spans="1:10" ht="13.5" customHeight="1" x14ac:dyDescent="0.25">
      <c r="A12" s="25" t="s">
        <v>11</v>
      </c>
      <c r="B12" s="26">
        <f>12956130+22139</f>
        <v>12978269</v>
      </c>
      <c r="C12" s="26">
        <f>596798+79226</f>
        <v>676024</v>
      </c>
      <c r="D12" s="26">
        <f>1003010</f>
        <v>1003010</v>
      </c>
      <c r="E12" s="26">
        <f>1489962+30000</f>
        <v>1519962</v>
      </c>
      <c r="F12" s="27">
        <f t="shared" si="0"/>
        <v>7.1199920432740538E-2</v>
      </c>
      <c r="G12" s="26">
        <f t="shared" si="1"/>
        <v>16177265</v>
      </c>
      <c r="I12" s="20"/>
    </row>
    <row r="13" spans="1:10" ht="13.5" customHeight="1" x14ac:dyDescent="0.25">
      <c r="A13" s="25" t="s">
        <v>12</v>
      </c>
      <c r="B13" s="26">
        <f>17018541+324292</f>
        <v>17342833</v>
      </c>
      <c r="C13" s="26">
        <f>575222+12500+150369</f>
        <v>738091</v>
      </c>
      <c r="D13" s="26">
        <f>2130148+21082</f>
        <v>2151230</v>
      </c>
      <c r="E13" s="26">
        <f>1932559+65256</f>
        <v>1997815</v>
      </c>
      <c r="F13" s="27">
        <f t="shared" si="0"/>
        <v>9.7839283959451046E-2</v>
      </c>
      <c r="G13" s="26">
        <f t="shared" si="1"/>
        <v>22229969</v>
      </c>
      <c r="I13" s="20"/>
    </row>
    <row r="14" spans="1:10" ht="13.5" customHeight="1" x14ac:dyDescent="0.25">
      <c r="A14" s="31" t="s">
        <v>13</v>
      </c>
      <c r="B14" s="26">
        <f>SUM(B9:B13)</f>
        <v>46978033</v>
      </c>
      <c r="C14" s="26">
        <f t="shared" ref="C14:E14" si="2">SUM(C9:C13)</f>
        <v>3299075</v>
      </c>
      <c r="D14" s="26">
        <f t="shared" si="2"/>
        <v>9500028</v>
      </c>
      <c r="E14" s="26">
        <f t="shared" si="2"/>
        <v>62751191</v>
      </c>
      <c r="F14" s="27">
        <f t="shared" si="0"/>
        <v>0.53927577579750441</v>
      </c>
      <c r="G14" s="26">
        <f>B14+C14+D14+E14</f>
        <v>122528327</v>
      </c>
      <c r="I14" s="20"/>
    </row>
    <row r="15" spans="1:10" ht="13.5" customHeight="1" x14ac:dyDescent="0.25">
      <c r="A15" s="32"/>
      <c r="B15" s="26"/>
      <c r="C15" s="26"/>
      <c r="D15" s="26"/>
      <c r="E15" s="26"/>
      <c r="F15" s="27"/>
      <c r="G15" s="26"/>
    </row>
    <row r="16" spans="1:10" ht="13.5" customHeight="1" x14ac:dyDescent="0.25">
      <c r="A16" s="25"/>
      <c r="B16" s="26"/>
      <c r="C16" s="26"/>
      <c r="D16" s="26"/>
      <c r="E16" s="26"/>
      <c r="F16" s="27"/>
      <c r="G16" s="26"/>
    </row>
    <row r="17" spans="1:8" ht="13.5" customHeight="1" x14ac:dyDescent="0.25">
      <c r="A17" s="25" t="s">
        <v>14</v>
      </c>
      <c r="B17" s="26">
        <f>4715434</f>
        <v>4715434</v>
      </c>
      <c r="C17" s="26">
        <f>7039797+177877</f>
        <v>7217674</v>
      </c>
      <c r="D17" s="26">
        <f>12002935+669417</f>
        <v>12672352</v>
      </c>
      <c r="E17" s="26">
        <f>647280+522369+35000-4198859</f>
        <v>-2994210</v>
      </c>
      <c r="F17" s="27">
        <f>G17/$G$23</f>
        <v>9.5116157178117819E-2</v>
      </c>
      <c r="G17" s="26">
        <f t="shared" si="1"/>
        <v>21611250</v>
      </c>
    </row>
    <row r="18" spans="1:8" ht="13.5" customHeight="1" x14ac:dyDescent="0.25">
      <c r="A18" s="25" t="s">
        <v>15</v>
      </c>
      <c r="B18" s="26">
        <f>5678003+160939</f>
        <v>5838942</v>
      </c>
      <c r="C18" s="26">
        <f>1941054+13764+1456907</f>
        <v>3411725</v>
      </c>
      <c r="D18" s="26">
        <f>18452489+944216</f>
        <v>19396705</v>
      </c>
      <c r="E18" s="26">
        <f>3080581+8568956+104641-47230</f>
        <v>11706948</v>
      </c>
      <c r="F18" s="27">
        <f>G18/$G$23</f>
        <v>0.17760878449585579</v>
      </c>
      <c r="G18" s="26">
        <f t="shared" si="1"/>
        <v>40354320</v>
      </c>
    </row>
    <row r="19" spans="1:8" ht="13.5" customHeight="1" x14ac:dyDescent="0.25">
      <c r="A19" s="25" t="s">
        <v>16</v>
      </c>
      <c r="B19" s="26">
        <v>1306769</v>
      </c>
      <c r="C19" s="26">
        <f>109928+70324</f>
        <v>180252</v>
      </c>
      <c r="D19" s="26">
        <f>131003</f>
        <v>131003</v>
      </c>
      <c r="E19" s="26">
        <v>208380</v>
      </c>
      <c r="F19" s="27">
        <f>G19/$G$23</f>
        <v>8.0384304440855158E-3</v>
      </c>
      <c r="G19" s="26">
        <f t="shared" si="1"/>
        <v>1826404</v>
      </c>
    </row>
    <row r="20" spans="1:8" ht="13.5" customHeight="1" x14ac:dyDescent="0.25">
      <c r="A20" s="25" t="s">
        <v>83</v>
      </c>
      <c r="B20" s="26">
        <f>1340377+44279</f>
        <v>1384656</v>
      </c>
      <c r="C20" s="26">
        <f>65811+69348</f>
        <v>135159</v>
      </c>
      <c r="D20" s="26">
        <f>122452</f>
        <v>122452</v>
      </c>
      <c r="E20" s="26">
        <v>174623</v>
      </c>
      <c r="F20" s="27">
        <f>G20/$G$23</f>
        <v>7.996557108698038E-3</v>
      </c>
      <c r="G20" s="26">
        <f t="shared" si="1"/>
        <v>1816890</v>
      </c>
    </row>
    <row r="21" spans="1:8" x14ac:dyDescent="0.25">
      <c r="A21" s="25" t="s">
        <v>17</v>
      </c>
      <c r="B21" s="26">
        <f>-522319-54948</f>
        <v>-577267</v>
      </c>
      <c r="C21" s="26">
        <f>-203533-15696</f>
        <v>-219229</v>
      </c>
      <c r="D21" s="26">
        <f>5744338+2500000</f>
        <v>8244338</v>
      </c>
      <c r="E21" s="26">
        <f>23006160+9754813+52964-1670054</f>
        <v>31143883</v>
      </c>
      <c r="F21" s="27">
        <f>G21/$G$23</f>
        <v>0.16985119235928967</v>
      </c>
      <c r="G21" s="26">
        <f t="shared" si="1"/>
        <v>38591725</v>
      </c>
    </row>
    <row r="22" spans="1:8" ht="13.5" customHeight="1" x14ac:dyDescent="0.25">
      <c r="A22" s="25"/>
      <c r="B22" s="26"/>
      <c r="C22" s="26"/>
      <c r="D22" s="26"/>
      <c r="E22" s="26"/>
      <c r="F22" s="27"/>
      <c r="G22" s="26"/>
    </row>
    <row r="23" spans="1:8" x14ac:dyDescent="0.25">
      <c r="A23" s="31" t="s">
        <v>6</v>
      </c>
      <c r="B23" s="33">
        <f>SUM(B14:B21)+B6</f>
        <v>60061783</v>
      </c>
      <c r="C23" s="33">
        <f t="shared" ref="C23:E23" si="3">SUM(C14:C21)+C6</f>
        <v>14028656</v>
      </c>
      <c r="D23" s="33">
        <f t="shared" si="3"/>
        <v>50127778</v>
      </c>
      <c r="E23" s="33">
        <f t="shared" si="3"/>
        <v>102990815</v>
      </c>
      <c r="F23" s="34">
        <f>G23/$G$23</f>
        <v>1</v>
      </c>
      <c r="G23" s="33">
        <f>B23+C23+D23+E23</f>
        <v>227209032</v>
      </c>
    </row>
    <row r="24" spans="1:8" ht="13.5" customHeight="1" x14ac:dyDescent="0.25">
      <c r="B24" s="13"/>
      <c r="C24" s="13"/>
      <c r="D24" s="13"/>
      <c r="E24" s="13"/>
      <c r="F24" s="14"/>
      <c r="G24" s="13"/>
    </row>
    <row r="25" spans="1:8" ht="13.5" customHeight="1" x14ac:dyDescent="0.25">
      <c r="A25" s="5" t="s">
        <v>18</v>
      </c>
      <c r="B25" s="13"/>
      <c r="C25" s="13"/>
      <c r="D25" s="13"/>
      <c r="E25" s="13"/>
      <c r="F25" s="14"/>
      <c r="G25" s="13"/>
    </row>
    <row r="26" spans="1:8" ht="13.5" customHeight="1" x14ac:dyDescent="0.25">
      <c r="A26" s="5" t="s">
        <v>75</v>
      </c>
      <c r="F26" s="14"/>
    </row>
    <row r="27" spans="1:8" ht="13.5" customHeight="1" x14ac:dyDescent="0.25">
      <c r="A27" s="46" t="s">
        <v>76</v>
      </c>
      <c r="B27" s="46"/>
      <c r="C27" s="46"/>
      <c r="D27" s="46"/>
      <c r="E27" s="46"/>
      <c r="F27" s="46"/>
      <c r="G27" s="46"/>
    </row>
    <row r="28" spans="1:8" ht="13.5" customHeight="1" x14ac:dyDescent="0.25">
      <c r="A28" s="5" t="s">
        <v>77</v>
      </c>
    </row>
    <row r="29" spans="1:8" ht="13.5" customHeight="1" x14ac:dyDescent="0.25">
      <c r="A29" s="46" t="s">
        <v>78</v>
      </c>
      <c r="B29" s="46"/>
      <c r="C29" s="46"/>
      <c r="D29" s="46"/>
      <c r="E29" s="46"/>
      <c r="F29" s="46"/>
      <c r="G29" s="46"/>
      <c r="H29" s="46"/>
    </row>
    <row r="30" spans="1:8" ht="13.5" customHeight="1" x14ac:dyDescent="0.25">
      <c r="A30" s="46" t="s">
        <v>79</v>
      </c>
      <c r="B30" s="46"/>
      <c r="C30" s="46"/>
      <c r="D30" s="46"/>
      <c r="E30" s="46"/>
      <c r="F30" s="46"/>
      <c r="G30" s="46"/>
    </row>
    <row r="31" spans="1:8" ht="13.5" customHeight="1" x14ac:dyDescent="0.25"/>
    <row r="32" spans="1:8" ht="13.5" customHeight="1" x14ac:dyDescent="0.25"/>
  </sheetData>
  <mergeCells count="7">
    <mergeCell ref="A1:G1"/>
    <mergeCell ref="A2:G2"/>
    <mergeCell ref="A3:G3"/>
    <mergeCell ref="A4:G4"/>
    <mergeCell ref="A30:G30"/>
    <mergeCell ref="A27:G27"/>
    <mergeCell ref="A29:H29"/>
  </mergeCells>
  <printOptions horizontalCentered="1"/>
  <pageMargins left="0.7" right="0.7" top="0.75" bottom="0.75" header="0.3" footer="0.3"/>
  <pageSetup scale="8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57150</xdr:rowOff>
              </from>
              <to>
                <xdr:col>0</xdr:col>
                <xdr:colOff>1266825</xdr:colOff>
                <xdr:row>2</xdr:row>
                <xdr:rowOff>133350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workbookViewId="0">
      <selection activeCell="E32" sqref="E32"/>
    </sheetView>
  </sheetViews>
  <sheetFormatPr defaultColWidth="9.140625" defaultRowHeight="15" x14ac:dyDescent="0.25"/>
  <cols>
    <col min="1" max="1" width="30.7109375" style="5" customWidth="1"/>
    <col min="2" max="6" width="13.140625" style="5" customWidth="1"/>
    <col min="7" max="7" width="13.85546875" style="5" customWidth="1"/>
    <col min="8" max="8" width="10" style="5" bestFit="1" customWidth="1"/>
    <col min="9" max="10" width="9.140625" style="5"/>
    <col min="11" max="16384" width="9.140625" style="6"/>
  </cols>
  <sheetData>
    <row r="1" spans="1:10" s="2" customFormat="1" ht="13.5" customHeight="1" x14ac:dyDescent="0.25">
      <c r="A1" s="44" t="s">
        <v>47</v>
      </c>
      <c r="B1" s="44"/>
      <c r="C1" s="44"/>
      <c r="D1" s="44"/>
      <c r="E1" s="44"/>
      <c r="F1" s="44"/>
      <c r="G1" s="44"/>
      <c r="H1" s="1"/>
      <c r="I1" s="1"/>
      <c r="J1" s="1"/>
    </row>
    <row r="2" spans="1:10" s="2" customFormat="1" ht="13.5" customHeight="1" x14ac:dyDescent="0.25">
      <c r="A2" s="44" t="s">
        <v>19</v>
      </c>
      <c r="B2" s="44"/>
      <c r="C2" s="44"/>
      <c r="D2" s="44"/>
      <c r="E2" s="44"/>
      <c r="F2" s="44"/>
      <c r="G2" s="44"/>
      <c r="H2" s="1"/>
      <c r="I2" s="1"/>
      <c r="J2" s="1"/>
    </row>
    <row r="3" spans="1:10" s="2" customFormat="1" ht="13.5" customHeight="1" x14ac:dyDescent="0.25">
      <c r="A3" s="44" t="s">
        <v>82</v>
      </c>
      <c r="B3" s="44"/>
      <c r="C3" s="44"/>
      <c r="D3" s="44"/>
      <c r="E3" s="44"/>
      <c r="F3" s="44"/>
      <c r="G3" s="44"/>
      <c r="H3" s="1"/>
      <c r="I3" s="1"/>
      <c r="J3" s="1"/>
    </row>
    <row r="4" spans="1:10" s="2" customFormat="1" ht="13.5" customHeight="1" x14ac:dyDescent="0.25">
      <c r="A4" s="45"/>
      <c r="B4" s="45"/>
      <c r="C4" s="45"/>
      <c r="D4" s="45"/>
      <c r="E4" s="45"/>
      <c r="F4" s="45"/>
      <c r="G4" s="45"/>
      <c r="H4" s="1"/>
      <c r="I4" s="1"/>
      <c r="J4" s="1"/>
    </row>
    <row r="5" spans="1:10" ht="27.9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7" t="s">
        <v>48</v>
      </c>
      <c r="F5" s="3" t="s">
        <v>5</v>
      </c>
      <c r="G5" s="3" t="s">
        <v>6</v>
      </c>
      <c r="H5" s="4"/>
    </row>
    <row r="6" spans="1:10" ht="13.5" customHeight="1" x14ac:dyDescent="0.25">
      <c r="A6" s="10" t="s">
        <v>7</v>
      </c>
      <c r="B6" s="17">
        <v>415216</v>
      </c>
      <c r="C6" s="17">
        <v>4000</v>
      </c>
      <c r="D6" s="17">
        <f>27000</f>
        <v>27000</v>
      </c>
      <c r="E6" s="17">
        <v>0</v>
      </c>
      <c r="F6" s="9">
        <f>G6/$G$22</f>
        <v>4.0023037446057057E-3</v>
      </c>
      <c r="G6" s="17">
        <f>B6+C6+D6+E6</f>
        <v>446216</v>
      </c>
      <c r="H6" s="4"/>
    </row>
    <row r="7" spans="1:10" ht="13.5" customHeight="1" x14ac:dyDescent="0.25">
      <c r="A7" s="3"/>
      <c r="B7" s="3"/>
      <c r="C7" s="3"/>
      <c r="D7" s="3"/>
      <c r="E7" s="3"/>
      <c r="F7" s="3"/>
      <c r="G7" s="3"/>
      <c r="H7" s="4"/>
    </row>
    <row r="8" spans="1:10" ht="13.5" customHeight="1" x14ac:dyDescent="0.25">
      <c r="A8" s="7" t="s">
        <v>8</v>
      </c>
      <c r="B8" s="8"/>
      <c r="C8" s="8"/>
      <c r="D8" s="8"/>
      <c r="E8" s="8"/>
      <c r="F8" s="9"/>
      <c r="G8" s="8"/>
    </row>
    <row r="9" spans="1:10" ht="13.5" customHeight="1" x14ac:dyDescent="0.25">
      <c r="A9" s="10" t="s">
        <v>9</v>
      </c>
      <c r="B9" s="35">
        <f>5093062+483076</f>
        <v>5576138</v>
      </c>
      <c r="C9" s="35">
        <f>785143+203151</f>
        <v>988294</v>
      </c>
      <c r="D9" s="17">
        <f>1085975+1042012</f>
        <v>2127987</v>
      </c>
      <c r="E9" s="17">
        <f>513565+1053460</f>
        <v>1567025</v>
      </c>
      <c r="F9" s="9">
        <f t="shared" ref="F9:F14" si="0">G9/$G$22</f>
        <v>9.2021377850127609E-2</v>
      </c>
      <c r="G9" s="17">
        <f t="shared" ref="G9:G20" si="1">B9+C9+D9+E9</f>
        <v>10259444</v>
      </c>
    </row>
    <row r="10" spans="1:10" ht="13.5" customHeight="1" x14ac:dyDescent="0.25">
      <c r="A10" s="10" t="s">
        <v>54</v>
      </c>
      <c r="B10" s="35">
        <f>2740264</f>
        <v>2740264</v>
      </c>
      <c r="C10" s="35">
        <f>200481+16320</f>
        <v>216801</v>
      </c>
      <c r="D10" s="17">
        <f>382144</f>
        <v>382144</v>
      </c>
      <c r="E10" s="17">
        <f>264588+179280</f>
        <v>443868</v>
      </c>
      <c r="F10" s="9">
        <f t="shared" si="0"/>
        <v>3.3932049149362008E-2</v>
      </c>
      <c r="G10" s="17">
        <f t="shared" ref="G10" si="2">B10+C10+D10+E10</f>
        <v>3783077</v>
      </c>
    </row>
    <row r="11" spans="1:10" ht="13.5" customHeight="1" x14ac:dyDescent="0.25">
      <c r="A11" s="38" t="s">
        <v>10</v>
      </c>
      <c r="B11" s="35">
        <v>6565914</v>
      </c>
      <c r="C11" s="35">
        <f>254983+16943</f>
        <v>271926</v>
      </c>
      <c r="D11" s="35">
        <f>284989+2500</f>
        <v>287489</v>
      </c>
      <c r="E11" s="17">
        <f>650928</f>
        <v>650928</v>
      </c>
      <c r="F11" s="9">
        <f t="shared" si="0"/>
        <v>6.9748602717330466E-2</v>
      </c>
      <c r="G11" s="17">
        <f t="shared" si="1"/>
        <v>7776257</v>
      </c>
    </row>
    <row r="12" spans="1:10" ht="13.5" customHeight="1" x14ac:dyDescent="0.25">
      <c r="A12" s="38" t="s">
        <v>11</v>
      </c>
      <c r="B12" s="35">
        <f>12947130+22139</f>
        <v>12969269</v>
      </c>
      <c r="C12" s="35">
        <f>596798+66921</f>
        <v>663719</v>
      </c>
      <c r="D12" s="17">
        <f>807291</f>
        <v>807291</v>
      </c>
      <c r="E12" s="17">
        <f>1488041+30000</f>
        <v>1518041</v>
      </c>
      <c r="F12" s="9">
        <f t="shared" si="0"/>
        <v>0.14313705446155253</v>
      </c>
      <c r="G12" s="17">
        <f t="shared" si="1"/>
        <v>15958320</v>
      </c>
    </row>
    <row r="13" spans="1:10" ht="13.5" customHeight="1" x14ac:dyDescent="0.25">
      <c r="A13" s="38" t="s">
        <v>12</v>
      </c>
      <c r="B13" s="17">
        <f>16805811+324292</f>
        <v>17130103</v>
      </c>
      <c r="C13" s="17">
        <f>572409+123839</f>
        <v>696248</v>
      </c>
      <c r="D13" s="17">
        <f>1679289+500</f>
        <v>1679789</v>
      </c>
      <c r="E13" s="17">
        <f>1844248+65256</f>
        <v>1909504</v>
      </c>
      <c r="F13" s="9">
        <f t="shared" si="0"/>
        <v>0.19208614701028809</v>
      </c>
      <c r="G13" s="17">
        <f t="shared" si="1"/>
        <v>21415644</v>
      </c>
    </row>
    <row r="14" spans="1:10" s="2" customFormat="1" ht="13.5" customHeight="1" x14ac:dyDescent="0.25">
      <c r="A14" s="19" t="s">
        <v>13</v>
      </c>
      <c r="B14" s="18">
        <f>SUM(B9:B13)</f>
        <v>44981688</v>
      </c>
      <c r="C14" s="18">
        <f t="shared" ref="C14:E14" si="3">SUM(C9:C13)</f>
        <v>2836988</v>
      </c>
      <c r="D14" s="18">
        <f t="shared" si="3"/>
        <v>5284700</v>
      </c>
      <c r="E14" s="18">
        <f t="shared" si="3"/>
        <v>6089366</v>
      </c>
      <c r="F14" s="12">
        <f t="shared" si="0"/>
        <v>0.53092523118866064</v>
      </c>
      <c r="G14" s="18">
        <f t="shared" si="1"/>
        <v>59192742</v>
      </c>
      <c r="H14" s="1"/>
      <c r="I14" s="1"/>
      <c r="J14" s="1"/>
    </row>
    <row r="15" spans="1:10" ht="13.5" customHeight="1" x14ac:dyDescent="0.25">
      <c r="A15" s="11"/>
      <c r="B15" s="17"/>
      <c r="C15" s="17"/>
      <c r="D15" s="17"/>
      <c r="E15" s="17"/>
      <c r="F15" s="9"/>
      <c r="G15" s="17"/>
    </row>
    <row r="16" spans="1:10" ht="13.5" customHeight="1" x14ac:dyDescent="0.25">
      <c r="A16" s="38" t="s">
        <v>14</v>
      </c>
      <c r="B16" s="21">
        <v>4450723</v>
      </c>
      <c r="C16" s="21">
        <f>6477035+156677</f>
        <v>6633712</v>
      </c>
      <c r="D16" s="21">
        <f>7868099+663753</f>
        <v>8531852</v>
      </c>
      <c r="E16" s="17">
        <f>209288-2608629</f>
        <v>-2399341</v>
      </c>
      <c r="F16" s="9">
        <f>G16/$G$22</f>
        <v>0.15442621386609673</v>
      </c>
      <c r="G16" s="17">
        <f t="shared" si="1"/>
        <v>17216946</v>
      </c>
    </row>
    <row r="17" spans="1:8" ht="13.5" customHeight="1" x14ac:dyDescent="0.25">
      <c r="A17" s="10" t="s">
        <v>15</v>
      </c>
      <c r="B17" s="21">
        <f>1583533+11070</f>
        <v>1594603</v>
      </c>
      <c r="C17" s="35">
        <f>71651+2031</f>
        <v>73682</v>
      </c>
      <c r="D17" s="35">
        <f>35142</f>
        <v>35142</v>
      </c>
      <c r="E17" s="17">
        <v>75218</v>
      </c>
      <c r="F17" s="9">
        <f>G17/$G$22</f>
        <v>1.5953434085340317E-2</v>
      </c>
      <c r="G17" s="17">
        <f t="shared" si="1"/>
        <v>1778645</v>
      </c>
    </row>
    <row r="18" spans="1:8" ht="13.5" customHeight="1" x14ac:dyDescent="0.25">
      <c r="A18" s="38" t="s">
        <v>16</v>
      </c>
      <c r="B18" s="21">
        <v>1038837</v>
      </c>
      <c r="C18" s="21">
        <f>109928+70324</f>
        <v>180252</v>
      </c>
      <c r="D18" s="21">
        <v>111882</v>
      </c>
      <c r="E18" s="17">
        <v>80729</v>
      </c>
      <c r="F18" s="9">
        <f>G18/$G$22</f>
        <v>1.266214612712201E-2</v>
      </c>
      <c r="G18" s="17">
        <f t="shared" si="1"/>
        <v>1411700</v>
      </c>
    </row>
    <row r="19" spans="1:8" ht="13.5" customHeight="1" x14ac:dyDescent="0.25">
      <c r="A19" s="38" t="s">
        <v>83</v>
      </c>
      <c r="B19" s="21">
        <f>964188+33209</f>
        <v>997397</v>
      </c>
      <c r="C19" s="21">
        <f>65811+69348</f>
        <v>135159</v>
      </c>
      <c r="D19" s="21">
        <f>122452</f>
        <v>122452</v>
      </c>
      <c r="E19" s="17">
        <v>173965</v>
      </c>
      <c r="F19" s="9">
        <f>G19/$G$22</f>
        <v>1.2817075113488645E-2</v>
      </c>
      <c r="G19" s="17">
        <f t="shared" si="1"/>
        <v>1428973</v>
      </c>
    </row>
    <row r="20" spans="1:8" ht="13.5" customHeight="1" x14ac:dyDescent="0.25">
      <c r="A20" s="38" t="s">
        <v>17</v>
      </c>
      <c r="B20" s="30">
        <f>542579-54948-788217</f>
        <v>-300586</v>
      </c>
      <c r="C20" s="30">
        <f>14533+9304-66420</f>
        <v>-42583</v>
      </c>
      <c r="D20" s="30">
        <f>1365507+130902</f>
        <v>1496409</v>
      </c>
      <c r="E20" s="30">
        <f>-287156-1670054+21189144+9414273+215120</f>
        <v>28861327</v>
      </c>
      <c r="F20" s="9">
        <f>G20/$G$22</f>
        <v>0.26921359587468591</v>
      </c>
      <c r="G20" s="17">
        <f t="shared" si="1"/>
        <v>30014567</v>
      </c>
    </row>
    <row r="21" spans="1:8" ht="13.5" customHeight="1" x14ac:dyDescent="0.25">
      <c r="A21" s="10"/>
      <c r="B21" s="17"/>
      <c r="C21" s="17"/>
      <c r="D21" s="17"/>
      <c r="E21" s="17"/>
      <c r="F21" s="9"/>
      <c r="G21" s="17"/>
    </row>
    <row r="22" spans="1:8" x14ac:dyDescent="0.25">
      <c r="A22" s="19" t="s">
        <v>6</v>
      </c>
      <c r="B22" s="18">
        <f>SUM(B14:B20)+B6</f>
        <v>53177878</v>
      </c>
      <c r="C22" s="18">
        <f t="shared" ref="C22:E22" si="4">SUM(C14:C20)+C6</f>
        <v>9821210</v>
      </c>
      <c r="D22" s="18">
        <f t="shared" si="4"/>
        <v>15609437</v>
      </c>
      <c r="E22" s="18">
        <f t="shared" si="4"/>
        <v>32881264</v>
      </c>
      <c r="F22" s="12">
        <f>G22/$G$22</f>
        <v>1</v>
      </c>
      <c r="G22" s="18">
        <f>B22+C22+D22+E22</f>
        <v>111489789</v>
      </c>
    </row>
    <row r="23" spans="1:8" ht="13.5" customHeight="1" x14ac:dyDescent="0.25">
      <c r="B23" s="13"/>
      <c r="C23" s="13"/>
      <c r="D23" s="13"/>
      <c r="E23" s="13"/>
      <c r="F23" s="14"/>
      <c r="G23" s="13"/>
      <c r="H23" s="20"/>
    </row>
    <row r="24" spans="1:8" ht="13.5" customHeight="1" x14ac:dyDescent="0.25">
      <c r="A24" s="5" t="s">
        <v>18</v>
      </c>
      <c r="B24" s="13"/>
      <c r="C24" s="13"/>
      <c r="D24" s="13"/>
      <c r="E24" s="13"/>
      <c r="F24" s="14"/>
      <c r="G24" s="13"/>
    </row>
    <row r="25" spans="1:8" ht="13.5" customHeight="1" x14ac:dyDescent="0.25">
      <c r="A25" s="5" t="s">
        <v>75</v>
      </c>
      <c r="F25" s="14"/>
    </row>
    <row r="26" spans="1:8" ht="13.5" customHeight="1" x14ac:dyDescent="0.25">
      <c r="A26" s="46" t="s">
        <v>76</v>
      </c>
      <c r="B26" s="46"/>
      <c r="C26" s="46"/>
      <c r="D26" s="46"/>
      <c r="E26" s="46"/>
      <c r="F26" s="46"/>
      <c r="G26" s="46"/>
    </row>
    <row r="27" spans="1:8" ht="13.5" customHeight="1" x14ac:dyDescent="0.25">
      <c r="A27" s="5" t="s">
        <v>77</v>
      </c>
    </row>
    <row r="28" spans="1:8" ht="13.5" customHeight="1" x14ac:dyDescent="0.25">
      <c r="A28" s="46" t="s">
        <v>78</v>
      </c>
      <c r="B28" s="46"/>
      <c r="C28" s="46"/>
      <c r="D28" s="46"/>
      <c r="E28" s="46"/>
      <c r="F28" s="46"/>
      <c r="G28" s="46"/>
      <c r="H28" s="46"/>
    </row>
    <row r="29" spans="1:8" ht="13.5" customHeight="1" x14ac:dyDescent="0.25">
      <c r="A29" s="46" t="s">
        <v>79</v>
      </c>
      <c r="B29" s="46"/>
      <c r="C29" s="46"/>
      <c r="D29" s="46"/>
      <c r="E29" s="46"/>
      <c r="F29" s="46"/>
      <c r="G29" s="46"/>
    </row>
    <row r="30" spans="1:8" ht="13.5" customHeight="1" x14ac:dyDescent="0.25">
      <c r="A30" s="46"/>
      <c r="B30" s="46"/>
      <c r="C30" s="46"/>
      <c r="D30" s="46"/>
      <c r="E30" s="46"/>
      <c r="F30" s="46"/>
      <c r="G30" s="46"/>
    </row>
    <row r="31" spans="1:8" ht="13.5" customHeight="1" x14ac:dyDescent="0.25"/>
  </sheetData>
  <mergeCells count="8">
    <mergeCell ref="A29:G29"/>
    <mergeCell ref="A30:G30"/>
    <mergeCell ref="A1:G1"/>
    <mergeCell ref="A2:G2"/>
    <mergeCell ref="A4:G4"/>
    <mergeCell ref="A3:G3"/>
    <mergeCell ref="A26:G26"/>
    <mergeCell ref="A28:H28"/>
  </mergeCells>
  <printOptions horizontalCentered="1"/>
  <pageMargins left="0.7" right="0.7" top="0.75" bottom="0.75" header="0.3" footer="0.3"/>
  <pageSetup scale="7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2049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57150</xdr:rowOff>
              </from>
              <to>
                <xdr:col>0</xdr:col>
                <xdr:colOff>1266825</xdr:colOff>
                <xdr:row>2</xdr:row>
                <xdr:rowOff>133350</xdr:rowOff>
              </to>
            </anchor>
          </objectPr>
        </oleObject>
      </mc:Choice>
      <mc:Fallback>
        <oleObject progId="Visio.Drawing.11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Normal="100" workbookViewId="0">
      <selection activeCell="B42" sqref="B42"/>
    </sheetView>
  </sheetViews>
  <sheetFormatPr defaultColWidth="9.140625" defaultRowHeight="15" x14ac:dyDescent="0.25"/>
  <cols>
    <col min="1" max="1" width="10.7109375" style="5" customWidth="1"/>
    <col min="2" max="2" width="44.5703125" style="5" bestFit="1" customWidth="1"/>
    <col min="3" max="7" width="12.7109375" style="5" customWidth="1"/>
    <col min="8" max="8" width="9.140625" style="5"/>
    <col min="9" max="9" width="12.42578125" style="5" bestFit="1" customWidth="1"/>
    <col min="10" max="16384" width="9.140625" style="6"/>
  </cols>
  <sheetData>
    <row r="1" spans="1:24" s="2" customFormat="1" ht="13.5" customHeight="1" x14ac:dyDescent="0.25">
      <c r="A1" s="44" t="s">
        <v>47</v>
      </c>
      <c r="B1" s="44"/>
      <c r="C1" s="44"/>
      <c r="D1" s="44"/>
      <c r="E1" s="44"/>
      <c r="F1" s="44"/>
      <c r="G1" s="44"/>
      <c r="H1" s="1"/>
      <c r="I1" s="1"/>
    </row>
    <row r="2" spans="1:24" s="2" customFormat="1" ht="13.5" customHeight="1" x14ac:dyDescent="0.25">
      <c r="A2" s="44" t="s">
        <v>22</v>
      </c>
      <c r="B2" s="44"/>
      <c r="C2" s="44"/>
      <c r="D2" s="44"/>
      <c r="E2" s="44"/>
      <c r="F2" s="44"/>
      <c r="G2" s="44"/>
      <c r="H2" s="1"/>
      <c r="I2" s="1"/>
    </row>
    <row r="3" spans="1:24" s="2" customFormat="1" ht="13.5" customHeight="1" x14ac:dyDescent="0.25">
      <c r="A3" s="44" t="s">
        <v>82</v>
      </c>
      <c r="B3" s="44"/>
      <c r="C3" s="44"/>
      <c r="D3" s="44"/>
      <c r="E3" s="44"/>
      <c r="F3" s="44"/>
      <c r="G3" s="44"/>
      <c r="H3" s="1"/>
      <c r="I3" s="1"/>
    </row>
    <row r="4" spans="1:24" s="2" customFormat="1" ht="13.5" customHeight="1" x14ac:dyDescent="0.25">
      <c r="A4" s="45"/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7.95" customHeight="1" x14ac:dyDescent="0.25">
      <c r="A5" s="3" t="s">
        <v>20</v>
      </c>
      <c r="B5" s="3" t="s">
        <v>21</v>
      </c>
      <c r="C5" s="3" t="s">
        <v>2</v>
      </c>
      <c r="D5" s="3" t="s">
        <v>3</v>
      </c>
      <c r="E5" s="3" t="s">
        <v>4</v>
      </c>
      <c r="F5" s="3" t="s">
        <v>49</v>
      </c>
      <c r="G5" s="3" t="s">
        <v>6</v>
      </c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5" customHeight="1" x14ac:dyDescent="0.25">
      <c r="A6" s="39" t="s">
        <v>55</v>
      </c>
      <c r="B6" s="16" t="s">
        <v>23</v>
      </c>
      <c r="C6" s="35">
        <f>40027658+601906</f>
        <v>40629564</v>
      </c>
      <c r="D6" s="35">
        <f>8424359+571915</f>
        <v>8996274</v>
      </c>
      <c r="E6" s="22">
        <f>3582779+1513451</f>
        <v>5096230</v>
      </c>
      <c r="F6" s="22">
        <f>21139119+139144-4278683</f>
        <v>16999580</v>
      </c>
      <c r="G6" s="22">
        <f>C6+D6+E6+F6</f>
        <v>71721648</v>
      </c>
      <c r="H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5" customHeight="1" x14ac:dyDescent="0.25">
      <c r="A7" s="39" t="s">
        <v>56</v>
      </c>
      <c r="B7" s="10" t="s">
        <v>24</v>
      </c>
      <c r="C7" s="35">
        <v>0</v>
      </c>
      <c r="D7" s="35">
        <v>0</v>
      </c>
      <c r="E7" s="22">
        <v>2992042</v>
      </c>
      <c r="F7" s="22">
        <v>0</v>
      </c>
      <c r="G7" s="22">
        <f>C7+D7+E7+F7</f>
        <v>2992042</v>
      </c>
      <c r="H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5" customHeight="1" x14ac:dyDescent="0.25">
      <c r="A8" s="39" t="s">
        <v>57</v>
      </c>
      <c r="B8" s="10" t="s">
        <v>25</v>
      </c>
      <c r="C8" s="35">
        <v>0</v>
      </c>
      <c r="D8" s="35">
        <v>0</v>
      </c>
      <c r="E8" s="22">
        <v>0</v>
      </c>
      <c r="F8" s="22">
        <v>9414273</v>
      </c>
      <c r="G8" s="22">
        <f t="shared" ref="G8:G25" si="0">C8+D8+E8+F8</f>
        <v>9414273</v>
      </c>
      <c r="H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.5" customHeight="1" x14ac:dyDescent="0.25">
      <c r="A9" s="39">
        <v>118</v>
      </c>
      <c r="B9" s="43" t="s">
        <v>80</v>
      </c>
      <c r="C9" s="35">
        <v>0</v>
      </c>
      <c r="D9" s="35">
        <v>0</v>
      </c>
      <c r="E9" s="22">
        <v>166800</v>
      </c>
      <c r="F9" s="22">
        <v>0</v>
      </c>
      <c r="G9" s="22">
        <f t="shared" si="0"/>
        <v>166800</v>
      </c>
      <c r="H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25">
      <c r="A10" s="39" t="s">
        <v>58</v>
      </c>
      <c r="B10" s="10" t="s">
        <v>26</v>
      </c>
      <c r="C10" s="35">
        <v>0</v>
      </c>
      <c r="D10" s="35">
        <v>0</v>
      </c>
      <c r="E10" s="22">
        <v>0</v>
      </c>
      <c r="F10" s="22">
        <v>7347556</v>
      </c>
      <c r="G10" s="22">
        <f t="shared" si="0"/>
        <v>7347556</v>
      </c>
      <c r="H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25">
      <c r="A11" s="39" t="s">
        <v>59</v>
      </c>
      <c r="B11" s="10" t="s">
        <v>27</v>
      </c>
      <c r="C11" s="35">
        <f>4116854+182510</f>
        <v>4299364</v>
      </c>
      <c r="D11" s="35">
        <f>2398069+13764+1431463</f>
        <v>3843296</v>
      </c>
      <c r="E11" s="22">
        <f>24341832+949416</f>
        <v>25291248</v>
      </c>
      <c r="F11" s="22">
        <f>3400918+2084309+513447-1259852</f>
        <v>4738822</v>
      </c>
      <c r="G11" s="22">
        <f t="shared" si="0"/>
        <v>38172730</v>
      </c>
      <c r="H1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25">
      <c r="A12" s="39" t="s">
        <v>60</v>
      </c>
      <c r="B12" s="10" t="s">
        <v>28</v>
      </c>
      <c r="C12" s="35">
        <f>12235184+194793</f>
        <v>12429977</v>
      </c>
      <c r="D12" s="35">
        <f>657993+166943</f>
        <v>824936</v>
      </c>
      <c r="E12" s="22">
        <f>7128931+195314</f>
        <v>7324245</v>
      </c>
      <c r="F12" s="22">
        <f>5254677+723717</f>
        <v>5978394</v>
      </c>
      <c r="G12" s="22">
        <f t="shared" si="0"/>
        <v>26557552</v>
      </c>
      <c r="H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25">
      <c r="A13" s="39" t="s">
        <v>61</v>
      </c>
      <c r="B13" s="10" t="s">
        <v>29</v>
      </c>
      <c r="C13" s="35">
        <v>0</v>
      </c>
      <c r="D13" s="35">
        <v>0</v>
      </c>
      <c r="E13" s="23">
        <f>400000+2500000</f>
        <v>2900000</v>
      </c>
      <c r="F13" s="23">
        <f>165000+25000</f>
        <v>190000</v>
      </c>
      <c r="G13" s="22">
        <f t="shared" si="0"/>
        <v>3090000</v>
      </c>
      <c r="H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25">
      <c r="A14" s="39" t="s">
        <v>62</v>
      </c>
      <c r="B14" s="10" t="s">
        <v>30</v>
      </c>
      <c r="C14" s="35">
        <f>1022860+44507</f>
        <v>1067367</v>
      </c>
      <c r="D14" s="35">
        <f>46944+12500+149755</f>
        <v>209199</v>
      </c>
      <c r="E14" s="22">
        <f>1763166+35060</f>
        <v>1798226</v>
      </c>
      <c r="F14" s="36">
        <f>381047+1200-377608</f>
        <v>4639</v>
      </c>
      <c r="G14" s="22">
        <f t="shared" si="0"/>
        <v>3079431</v>
      </c>
      <c r="H1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25">
      <c r="A15" s="39" t="s">
        <v>63</v>
      </c>
      <c r="B15" s="10" t="s">
        <v>51</v>
      </c>
      <c r="C15" s="35">
        <f>502223+11070</f>
        <v>513293</v>
      </c>
      <c r="D15" s="35">
        <v>20000</v>
      </c>
      <c r="E15" s="22">
        <f>3468955</f>
        <v>3468955</v>
      </c>
      <c r="F15" s="22">
        <f>1934948+100000</f>
        <v>2034948</v>
      </c>
      <c r="G15" s="22">
        <f t="shared" si="0"/>
        <v>6037196</v>
      </c>
      <c r="H1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25">
      <c r="A16" s="39" t="s">
        <v>64</v>
      </c>
      <c r="B16" s="10" t="s">
        <v>50</v>
      </c>
      <c r="C16" s="35">
        <v>0</v>
      </c>
      <c r="D16" s="35">
        <v>0</v>
      </c>
      <c r="E16" s="22">
        <v>0</v>
      </c>
      <c r="F16" s="22">
        <v>387709</v>
      </c>
      <c r="G16" s="22">
        <f t="shared" si="0"/>
        <v>387709</v>
      </c>
      <c r="H1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25">
      <c r="A17" s="39" t="s">
        <v>65</v>
      </c>
      <c r="B17" s="10" t="s">
        <v>31</v>
      </c>
      <c r="C17" s="35">
        <v>0</v>
      </c>
      <c r="D17" s="35">
        <v>40117</v>
      </c>
      <c r="E17" s="22">
        <v>68759</v>
      </c>
      <c r="F17" s="22">
        <v>16457</v>
      </c>
      <c r="G17" s="22">
        <f t="shared" si="0"/>
        <v>125333</v>
      </c>
      <c r="H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25">
      <c r="A18" s="39" t="s">
        <v>66</v>
      </c>
      <c r="B18" s="10" t="s">
        <v>32</v>
      </c>
      <c r="C18" s="35">
        <v>0</v>
      </c>
      <c r="D18" s="35">
        <v>0</v>
      </c>
      <c r="E18" s="22">
        <v>0</v>
      </c>
      <c r="F18" s="22">
        <v>8135000</v>
      </c>
      <c r="G18" s="22">
        <f t="shared" si="0"/>
        <v>8135000</v>
      </c>
      <c r="H1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25">
      <c r="A19" s="39" t="s">
        <v>67</v>
      </c>
      <c r="B19" s="10" t="s">
        <v>33</v>
      </c>
      <c r="C19" s="35">
        <v>0</v>
      </c>
      <c r="D19" s="35">
        <v>0</v>
      </c>
      <c r="E19" s="22">
        <v>0</v>
      </c>
      <c r="F19" s="22">
        <v>46900000</v>
      </c>
      <c r="G19" s="22">
        <f t="shared" si="0"/>
        <v>46900000</v>
      </c>
      <c r="H1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25">
      <c r="A20" s="39" t="s">
        <v>68</v>
      </c>
      <c r="B20" s="10" t="s">
        <v>34</v>
      </c>
      <c r="C20" s="35">
        <f>150535</f>
        <v>150535</v>
      </c>
      <c r="D20" s="35">
        <v>94834</v>
      </c>
      <c r="E20" s="22">
        <f>100776</f>
        <v>100776</v>
      </c>
      <c r="F20" s="22">
        <v>113671</v>
      </c>
      <c r="G20" s="22">
        <f t="shared" si="0"/>
        <v>459816</v>
      </c>
      <c r="H2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25">
      <c r="A21" s="39" t="s">
        <v>69</v>
      </c>
      <c r="B21" s="10" t="s">
        <v>74</v>
      </c>
      <c r="C21" s="35">
        <v>539410</v>
      </c>
      <c r="D21" s="35">
        <v>0</v>
      </c>
      <c r="E21" s="22">
        <v>815000</v>
      </c>
      <c r="F21" s="22">
        <v>84957</v>
      </c>
      <c r="G21" s="22">
        <f t="shared" si="0"/>
        <v>1439367</v>
      </c>
      <c r="H2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25">
      <c r="A22" s="39" t="s">
        <v>70</v>
      </c>
      <c r="B22" s="10" t="s">
        <v>53</v>
      </c>
      <c r="C22" s="35">
        <v>313936</v>
      </c>
      <c r="D22" s="35"/>
      <c r="E22" s="22">
        <v>75377</v>
      </c>
      <c r="F22" s="22">
        <v>155792</v>
      </c>
      <c r="G22" s="22">
        <f t="shared" si="0"/>
        <v>545105</v>
      </c>
      <c r="H2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.5" customHeight="1" x14ac:dyDescent="0.25">
      <c r="A23" s="39" t="s">
        <v>71</v>
      </c>
      <c r="B23" s="10" t="s">
        <v>35</v>
      </c>
      <c r="C23" s="35">
        <f>96198+22139</f>
        <v>118337</v>
      </c>
      <c r="D23" s="35">
        <v>0</v>
      </c>
      <c r="E23" s="22">
        <v>30120</v>
      </c>
      <c r="F23" s="22">
        <v>95918</v>
      </c>
      <c r="G23" s="22">
        <f t="shared" si="0"/>
        <v>244375</v>
      </c>
      <c r="H2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.5" customHeight="1" x14ac:dyDescent="0.25">
      <c r="A24" s="39" t="s">
        <v>72</v>
      </c>
      <c r="B24" s="10" t="s">
        <v>36</v>
      </c>
      <c r="C24" s="35">
        <v>0</v>
      </c>
      <c r="D24" s="35">
        <v>0</v>
      </c>
      <c r="E24" s="22">
        <v>0</v>
      </c>
      <c r="F24" s="22">
        <v>123276</v>
      </c>
      <c r="G24" s="22">
        <f t="shared" si="0"/>
        <v>123276</v>
      </c>
      <c r="H2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.5" customHeight="1" x14ac:dyDescent="0.25">
      <c r="A25" s="39" t="s">
        <v>73</v>
      </c>
      <c r="B25" s="10" t="s">
        <v>37</v>
      </c>
      <c r="C25" s="35">
        <v>0</v>
      </c>
      <c r="D25" s="35">
        <v>0</v>
      </c>
      <c r="E25" s="22">
        <v>0</v>
      </c>
      <c r="F25" s="22">
        <v>269823</v>
      </c>
      <c r="G25" s="22">
        <f t="shared" si="0"/>
        <v>269823</v>
      </c>
      <c r="H2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25">
      <c r="A26" s="15"/>
      <c r="B26" s="10"/>
      <c r="C26" s="22"/>
      <c r="D26" s="22"/>
      <c r="E26" s="22"/>
      <c r="F26" s="22"/>
      <c r="G26" s="22"/>
      <c r="H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25">
      <c r="A27" s="11" t="s">
        <v>6</v>
      </c>
      <c r="B27" s="11"/>
      <c r="C27" s="24">
        <f>SUM(C6:C26)</f>
        <v>60061783</v>
      </c>
      <c r="D27" s="24">
        <f t="shared" ref="D27:G27" si="1">SUM(D6:D26)</f>
        <v>14028656</v>
      </c>
      <c r="E27" s="24">
        <f t="shared" si="1"/>
        <v>50127778</v>
      </c>
      <c r="F27" s="24">
        <f t="shared" si="1"/>
        <v>102990815</v>
      </c>
      <c r="G27" s="24">
        <f t="shared" si="1"/>
        <v>227209032</v>
      </c>
      <c r="H2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25">
      <c r="C28" s="13"/>
      <c r="D28" s="13"/>
      <c r="E28" s="13"/>
      <c r="F28" s="13"/>
      <c r="G28" s="13"/>
      <c r="H2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25">
      <c r="A29" s="5" t="s">
        <v>18</v>
      </c>
      <c r="C29" s="13"/>
      <c r="D29" s="13"/>
      <c r="E29" s="13"/>
      <c r="F29" s="13"/>
      <c r="G29" s="13"/>
      <c r="H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25">
      <c r="A30" s="46" t="s">
        <v>52</v>
      </c>
      <c r="B30" s="46"/>
      <c r="C30" s="46"/>
      <c r="D30" s="46"/>
      <c r="E30" s="46"/>
      <c r="F30" s="46"/>
      <c r="G30" s="4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25"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25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9:24" ht="13.5" customHeight="1" x14ac:dyDescent="0.25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9:24" ht="13.5" customHeight="1" x14ac:dyDescent="0.25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9:24" ht="13.5" customHeight="1" x14ac:dyDescent="0.25"/>
    <row r="36" spans="9:24" ht="13.5" customHeight="1" x14ac:dyDescent="0.25"/>
  </sheetData>
  <mergeCells count="5">
    <mergeCell ref="A30:G30"/>
    <mergeCell ref="A1:G1"/>
    <mergeCell ref="A2:G2"/>
    <mergeCell ref="A3:G3"/>
    <mergeCell ref="A4:G4"/>
  </mergeCells>
  <printOptions horizontalCentered="1"/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307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66675</xdr:rowOff>
              </from>
              <to>
                <xdr:col>1</xdr:col>
                <xdr:colOff>590550</xdr:colOff>
                <xdr:row>2</xdr:row>
                <xdr:rowOff>142875</xdr:rowOff>
              </to>
            </anchor>
          </objectPr>
        </oleObject>
      </mc:Choice>
      <mc:Fallback>
        <oleObject progId="Visio.Drawing.11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Normal="100" workbookViewId="0">
      <selection activeCell="I29" sqref="I29"/>
    </sheetView>
  </sheetViews>
  <sheetFormatPr defaultColWidth="9.140625" defaultRowHeight="15" x14ac:dyDescent="0.25"/>
  <cols>
    <col min="1" max="1" width="30.7109375" style="5" customWidth="1"/>
    <col min="2" max="10" width="12.7109375" style="5" customWidth="1"/>
    <col min="11" max="11" width="10.28515625" style="5" bestFit="1" customWidth="1"/>
    <col min="12" max="12" width="12.7109375" style="5" customWidth="1"/>
    <col min="13" max="14" width="9.140625" style="5"/>
    <col min="15" max="16384" width="9.140625" style="6"/>
  </cols>
  <sheetData>
    <row r="1" spans="1:14" s="2" customFormat="1" ht="13.5" customHeight="1" x14ac:dyDescent="0.25">
      <c r="A1" s="44" t="s">
        <v>47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"/>
      <c r="N1" s="1"/>
    </row>
    <row r="2" spans="1:14" s="2" customFormat="1" ht="13.5" customHeight="1" x14ac:dyDescent="0.25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1"/>
      <c r="N2" s="1"/>
    </row>
    <row r="3" spans="1:14" s="2" customFormat="1" ht="13.5" customHeight="1" x14ac:dyDescent="0.25">
      <c r="A3" s="47" t="s">
        <v>82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1"/>
      <c r="N3" s="1"/>
    </row>
    <row r="4" spans="1:14" s="2" customFormat="1" ht="13.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1"/>
      <c r="N4" s="1"/>
    </row>
    <row r="5" spans="1:14" ht="32.25" customHeight="1" x14ac:dyDescent="0.25">
      <c r="A5" s="3" t="s">
        <v>1</v>
      </c>
      <c r="B5" s="3" t="s">
        <v>38</v>
      </c>
      <c r="C5" s="3" t="s">
        <v>39</v>
      </c>
      <c r="D5" s="3" t="s">
        <v>42</v>
      </c>
      <c r="E5" s="3" t="s">
        <v>43</v>
      </c>
      <c r="F5" s="3" t="s">
        <v>40</v>
      </c>
      <c r="G5" s="3" t="s">
        <v>45</v>
      </c>
      <c r="H5" s="3" t="s">
        <v>27</v>
      </c>
      <c r="I5" s="3" t="s">
        <v>44</v>
      </c>
      <c r="J5" s="3" t="s">
        <v>41</v>
      </c>
      <c r="K5" s="3" t="s">
        <v>5</v>
      </c>
      <c r="L5" s="3" t="s">
        <v>6</v>
      </c>
    </row>
    <row r="6" spans="1:14" ht="13.5" customHeight="1" x14ac:dyDescent="0.25">
      <c r="A6" s="10" t="s">
        <v>7</v>
      </c>
      <c r="B6" s="17">
        <v>0</v>
      </c>
      <c r="C6" s="17">
        <v>0</v>
      </c>
      <c r="D6" s="17">
        <v>9232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470884</v>
      </c>
      <c r="K6" s="9">
        <f>L6/$L$22</f>
        <v>2.1131026164488038E-3</v>
      </c>
      <c r="L6" s="17">
        <f t="shared" ref="L6" si="0">SUM(B6:J6)</f>
        <v>480116</v>
      </c>
    </row>
    <row r="7" spans="1:1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3.5" customHeight="1" x14ac:dyDescent="0.25">
      <c r="A8" s="7" t="s">
        <v>8</v>
      </c>
      <c r="B8" s="8"/>
      <c r="C8" s="8"/>
      <c r="D8" s="8"/>
      <c r="E8" s="8"/>
      <c r="F8" s="8"/>
      <c r="G8" s="8"/>
      <c r="H8" s="8"/>
      <c r="I8" s="8"/>
      <c r="J8" s="8"/>
      <c r="K8" s="9"/>
      <c r="L8" s="8"/>
    </row>
    <row r="9" spans="1:14" ht="13.5" customHeight="1" x14ac:dyDescent="0.25">
      <c r="A9" s="10" t="s">
        <v>9</v>
      </c>
      <c r="B9" s="17">
        <v>3880588</v>
      </c>
      <c r="C9" s="17">
        <v>194086</v>
      </c>
      <c r="D9" s="17">
        <v>152099</v>
      </c>
      <c r="E9" s="17">
        <v>4753650</v>
      </c>
      <c r="F9" s="17">
        <v>3713432</v>
      </c>
      <c r="G9" s="17">
        <v>56851175</v>
      </c>
      <c r="H9" s="17">
        <v>0</v>
      </c>
      <c r="I9" s="17">
        <v>0</v>
      </c>
      <c r="J9" s="17">
        <v>587607</v>
      </c>
      <c r="K9" s="9">
        <f>L9/$L$22</f>
        <v>0.30867011043821535</v>
      </c>
      <c r="L9" s="17">
        <f>SUM(B9:J9)</f>
        <v>70132637</v>
      </c>
    </row>
    <row r="10" spans="1:14" ht="13.5" customHeight="1" x14ac:dyDescent="0.25">
      <c r="A10" s="10" t="s">
        <v>54</v>
      </c>
      <c r="B10" s="17">
        <v>3660841</v>
      </c>
      <c r="C10" s="17">
        <v>500</v>
      </c>
      <c r="D10" s="17">
        <v>722273</v>
      </c>
      <c r="E10" s="17">
        <v>1307211</v>
      </c>
      <c r="F10" s="17">
        <v>55267</v>
      </c>
      <c r="G10" s="17">
        <v>179280</v>
      </c>
      <c r="H10" s="17">
        <v>0</v>
      </c>
      <c r="I10" s="17">
        <v>0</v>
      </c>
      <c r="J10" s="17">
        <v>0</v>
      </c>
      <c r="K10" s="9">
        <f>L10/$L$22</f>
        <v>2.6078945664448763E-2</v>
      </c>
      <c r="L10" s="17">
        <f t="shared" ref="L10:L13" si="1">SUM(B10:J10)</f>
        <v>5925372</v>
      </c>
    </row>
    <row r="11" spans="1:14" ht="12.75" customHeight="1" x14ac:dyDescent="0.25">
      <c r="A11" s="10" t="s">
        <v>10</v>
      </c>
      <c r="B11" s="17">
        <v>7200552</v>
      </c>
      <c r="C11" s="17">
        <v>65386</v>
      </c>
      <c r="D11" s="17">
        <v>272123</v>
      </c>
      <c r="E11" s="17">
        <v>517523</v>
      </c>
      <c r="F11" s="17">
        <v>0</v>
      </c>
      <c r="G11" s="17">
        <v>0</v>
      </c>
      <c r="H11" s="17">
        <v>0</v>
      </c>
      <c r="I11" s="17">
        <v>0</v>
      </c>
      <c r="J11" s="17">
        <v>7500</v>
      </c>
      <c r="K11" s="9">
        <f>L11/$L$22</f>
        <v>3.5487515302648709E-2</v>
      </c>
      <c r="L11" s="17">
        <f t="shared" si="1"/>
        <v>8063084</v>
      </c>
    </row>
    <row r="12" spans="1:14" ht="13.5" customHeight="1" x14ac:dyDescent="0.25">
      <c r="A12" s="10" t="s">
        <v>11</v>
      </c>
      <c r="B12" s="17">
        <v>15182639</v>
      </c>
      <c r="C12" s="17">
        <v>0</v>
      </c>
      <c r="D12" s="17">
        <v>90439</v>
      </c>
      <c r="E12" s="17">
        <v>731911</v>
      </c>
      <c r="F12" s="17">
        <v>132276</v>
      </c>
      <c r="G12" s="17">
        <v>30000</v>
      </c>
      <c r="H12" s="17">
        <v>0</v>
      </c>
      <c r="I12" s="17">
        <v>0</v>
      </c>
      <c r="J12" s="17">
        <v>10000</v>
      </c>
      <c r="K12" s="9">
        <f>L12/$L$22</f>
        <v>7.1199920432740538E-2</v>
      </c>
      <c r="L12" s="17">
        <f t="shared" si="1"/>
        <v>16177265</v>
      </c>
    </row>
    <row r="13" spans="1:14" ht="13.5" customHeight="1" x14ac:dyDescent="0.25">
      <c r="A13" s="10" t="s">
        <v>12</v>
      </c>
      <c r="B13" s="17">
        <v>20804338</v>
      </c>
      <c r="C13" s="17">
        <v>27874</v>
      </c>
      <c r="D13" s="17">
        <v>81252</v>
      </c>
      <c r="E13" s="17">
        <v>1223099</v>
      </c>
      <c r="F13" s="17">
        <v>10150</v>
      </c>
      <c r="G13" s="17">
        <v>65256</v>
      </c>
      <c r="H13" s="17">
        <v>0</v>
      </c>
      <c r="I13" s="17">
        <v>0</v>
      </c>
      <c r="J13" s="17">
        <v>18000</v>
      </c>
      <c r="K13" s="9">
        <f>L13/$L$22</f>
        <v>9.7839283959451046E-2</v>
      </c>
      <c r="L13" s="17">
        <f t="shared" si="1"/>
        <v>22229969</v>
      </c>
    </row>
    <row r="14" spans="1:14" s="2" customFormat="1" ht="13.5" customHeight="1" x14ac:dyDescent="0.25">
      <c r="A14" s="19" t="s">
        <v>13</v>
      </c>
      <c r="B14" s="18">
        <f>SUM(B9:B13)</f>
        <v>50728958</v>
      </c>
      <c r="C14" s="18">
        <f t="shared" ref="C14:H14" si="2">SUM(C9:C13)</f>
        <v>287846</v>
      </c>
      <c r="D14" s="18">
        <f t="shared" si="2"/>
        <v>1318186</v>
      </c>
      <c r="E14" s="18">
        <f t="shared" si="2"/>
        <v>8533394</v>
      </c>
      <c r="F14" s="18">
        <f>SUM(F9:F13)</f>
        <v>3911125</v>
      </c>
      <c r="G14" s="18">
        <f>SUM(G9:G13)</f>
        <v>57125711</v>
      </c>
      <c r="H14" s="18">
        <f t="shared" si="2"/>
        <v>0</v>
      </c>
      <c r="I14" s="18">
        <f>SUM(I9:I13)</f>
        <v>0</v>
      </c>
      <c r="J14" s="18">
        <f>SUM(J9:J13)</f>
        <v>623107</v>
      </c>
      <c r="K14" s="12">
        <f>L14/$L$22</f>
        <v>0.53927577579750441</v>
      </c>
      <c r="L14" s="18">
        <f>SUM(B14:J14)</f>
        <v>122528327</v>
      </c>
      <c r="M14" s="1"/>
      <c r="N14" s="1"/>
    </row>
    <row r="15" spans="1:14" ht="13.5" customHeight="1" x14ac:dyDescent="0.25">
      <c r="A15" s="11"/>
      <c r="B15" s="17"/>
      <c r="C15" s="17"/>
      <c r="D15" s="17"/>
      <c r="E15" s="17"/>
      <c r="F15" s="17"/>
      <c r="G15" s="17"/>
      <c r="H15" s="17"/>
      <c r="I15" s="17"/>
      <c r="J15" s="17"/>
      <c r="K15" s="9"/>
      <c r="L15" s="17"/>
    </row>
    <row r="16" spans="1:14" ht="13.5" customHeight="1" x14ac:dyDescent="0.25">
      <c r="A16" s="10" t="s">
        <v>14</v>
      </c>
      <c r="B16" s="17">
        <v>1270858</v>
      </c>
      <c r="C16" s="17">
        <v>0</v>
      </c>
      <c r="D16" s="17">
        <v>0</v>
      </c>
      <c r="E16" s="17">
        <v>4422759</v>
      </c>
      <c r="F16" s="17">
        <v>941693</v>
      </c>
      <c r="G16" s="17">
        <v>35000</v>
      </c>
      <c r="H16" s="17">
        <v>878037</v>
      </c>
      <c r="I16" s="17">
        <v>8099655</v>
      </c>
      <c r="J16" s="17">
        <v>5963248</v>
      </c>
      <c r="K16" s="9">
        <f>L16/$L$22</f>
        <v>9.5116157178117819E-2</v>
      </c>
      <c r="L16" s="17">
        <f t="shared" ref="L16:L20" si="3">SUM(B16:J16)</f>
        <v>21611250</v>
      </c>
    </row>
    <row r="17" spans="1:12" ht="13.5" customHeight="1" x14ac:dyDescent="0.25">
      <c r="A17" s="10" t="s">
        <v>15</v>
      </c>
      <c r="B17" s="17">
        <v>0</v>
      </c>
      <c r="C17" s="17">
        <v>0</v>
      </c>
      <c r="D17" s="17">
        <v>286963</v>
      </c>
      <c r="E17" s="17">
        <v>0</v>
      </c>
      <c r="F17" s="17">
        <v>16781141</v>
      </c>
      <c r="G17" s="17">
        <v>104641</v>
      </c>
      <c r="H17" s="17">
        <v>22794968</v>
      </c>
      <c r="I17" s="17">
        <v>0</v>
      </c>
      <c r="J17" s="17">
        <v>386607</v>
      </c>
      <c r="K17" s="9">
        <f>L17/$L$22</f>
        <v>0.17760878449585579</v>
      </c>
      <c r="L17" s="17">
        <f t="shared" si="3"/>
        <v>40354320</v>
      </c>
    </row>
    <row r="18" spans="1:12" ht="13.5" customHeight="1" x14ac:dyDescent="0.25">
      <c r="A18" s="10" t="s">
        <v>16</v>
      </c>
      <c r="B18" s="17">
        <v>0</v>
      </c>
      <c r="C18" s="17">
        <v>0</v>
      </c>
      <c r="D18" s="17">
        <v>17975</v>
      </c>
      <c r="E18" s="17">
        <v>463388</v>
      </c>
      <c r="F18" s="17">
        <v>0</v>
      </c>
      <c r="G18" s="17">
        <v>0</v>
      </c>
      <c r="H18" s="17">
        <v>0</v>
      </c>
      <c r="I18" s="17">
        <v>0</v>
      </c>
      <c r="J18" s="17">
        <v>1345041</v>
      </c>
      <c r="K18" s="9">
        <f>L18/$L$22</f>
        <v>8.0384304440855158E-3</v>
      </c>
      <c r="L18" s="17">
        <f>SUM(B18:J18)</f>
        <v>1826404</v>
      </c>
    </row>
    <row r="19" spans="1:12" ht="13.5" customHeight="1" x14ac:dyDescent="0.25">
      <c r="A19" s="10" t="s">
        <v>83</v>
      </c>
      <c r="B19" s="17">
        <v>0</v>
      </c>
      <c r="C19" s="17">
        <v>0</v>
      </c>
      <c r="D19" s="17">
        <v>4158</v>
      </c>
      <c r="E19" s="17">
        <v>0</v>
      </c>
      <c r="F19" s="17">
        <v>1812732</v>
      </c>
      <c r="G19" s="17">
        <v>0</v>
      </c>
      <c r="H19" s="17">
        <v>0</v>
      </c>
      <c r="I19" s="17">
        <v>0</v>
      </c>
      <c r="J19" s="17">
        <v>0</v>
      </c>
      <c r="K19" s="9">
        <f>L19/$L$22</f>
        <v>7.996557108698038E-3</v>
      </c>
      <c r="L19" s="17">
        <f>SUM(B19:J19)</f>
        <v>1816890</v>
      </c>
    </row>
    <row r="20" spans="1:12" x14ac:dyDescent="0.25">
      <c r="A20" s="10" t="s">
        <v>17</v>
      </c>
      <c r="B20" s="17">
        <f>2942084+12022410</f>
        <v>14964494</v>
      </c>
      <c r="C20" s="17">
        <f>3366065-29538</f>
        <v>3336527</v>
      </c>
      <c r="D20" s="17">
        <f>921546-893303</f>
        <v>28243</v>
      </c>
      <c r="E20" s="17">
        <f>1170268+2328208</f>
        <v>3498476</v>
      </c>
      <c r="F20" s="17">
        <f>-197166+1170367</f>
        <v>973201</v>
      </c>
      <c r="G20" s="17">
        <f>-162156+215120</f>
        <v>52964</v>
      </c>
      <c r="H20" s="17">
        <f>50000</f>
        <v>50000</v>
      </c>
      <c r="I20" s="17">
        <f>2941815+11173212</f>
        <v>14115027</v>
      </c>
      <c r="J20" s="17">
        <f>-422784+1995577</f>
        <v>1572793</v>
      </c>
      <c r="K20" s="9">
        <f>L20/$L$22</f>
        <v>0.16985119235928967</v>
      </c>
      <c r="L20" s="17">
        <f t="shared" si="3"/>
        <v>38591725</v>
      </c>
    </row>
    <row r="21" spans="1:12" ht="13.5" customHeight="1" x14ac:dyDescent="0.25">
      <c r="A21" s="10"/>
      <c r="B21" s="17"/>
      <c r="C21" s="17"/>
      <c r="D21" s="17"/>
      <c r="E21" s="17"/>
      <c r="F21" s="17"/>
      <c r="G21" s="17"/>
      <c r="H21" s="17"/>
      <c r="I21" s="17"/>
      <c r="J21" s="17"/>
      <c r="K21" s="9"/>
      <c r="L21" s="17"/>
    </row>
    <row r="22" spans="1:12" ht="13.5" customHeight="1" x14ac:dyDescent="0.25">
      <c r="A22" s="19" t="s">
        <v>6</v>
      </c>
      <c r="B22" s="18">
        <f t="shared" ref="B22:H22" si="4">SUM(B14:B20)+B6</f>
        <v>66964310</v>
      </c>
      <c r="C22" s="18">
        <f t="shared" si="4"/>
        <v>3624373</v>
      </c>
      <c r="D22" s="18">
        <f t="shared" si="4"/>
        <v>1664757</v>
      </c>
      <c r="E22" s="18">
        <f t="shared" si="4"/>
        <v>16918017</v>
      </c>
      <c r="F22" s="18">
        <f t="shared" ref="F22:G22" si="5">SUM(F14:F20)+F6</f>
        <v>24419892</v>
      </c>
      <c r="G22" s="18">
        <f t="shared" si="5"/>
        <v>57318316</v>
      </c>
      <c r="H22" s="18">
        <f t="shared" si="4"/>
        <v>23723005</v>
      </c>
      <c r="I22" s="18">
        <f>SUM(I14:I20)+I6</f>
        <v>22214682</v>
      </c>
      <c r="J22" s="18">
        <f>SUM(J14:J20)+J6</f>
        <v>10361680</v>
      </c>
      <c r="K22" s="12">
        <f>L22/$L$22</f>
        <v>1</v>
      </c>
      <c r="L22" s="18">
        <f>SUM(B22:J22)</f>
        <v>227209032</v>
      </c>
    </row>
    <row r="23" spans="1:12" ht="13.5" customHeight="1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4"/>
      <c r="L23" s="13"/>
    </row>
    <row r="24" spans="1:12" ht="13.5" customHeight="1" x14ac:dyDescent="0.25">
      <c r="A24" s="5" t="s">
        <v>18</v>
      </c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3"/>
    </row>
    <row r="25" spans="1:12" ht="13.5" customHeight="1" x14ac:dyDescent="0.25">
      <c r="A25" s="5" t="s">
        <v>75</v>
      </c>
      <c r="D25" s="14"/>
      <c r="K25" s="14"/>
    </row>
    <row r="26" spans="1:12" ht="13.5" customHeight="1" x14ac:dyDescent="0.25">
      <c r="A26" s="42" t="s">
        <v>76</v>
      </c>
      <c r="B26" s="42"/>
      <c r="C26" s="42"/>
      <c r="D26" s="42"/>
      <c r="E26" s="42"/>
      <c r="F26" s="42"/>
      <c r="G26" s="42"/>
    </row>
    <row r="27" spans="1:12" ht="13.5" customHeight="1" x14ac:dyDescent="0.25">
      <c r="A27" s="5" t="s">
        <v>77</v>
      </c>
    </row>
    <row r="28" spans="1:12" ht="13.5" customHeight="1" x14ac:dyDescent="0.25">
      <c r="A28" s="46"/>
      <c r="B28" s="46"/>
      <c r="C28" s="46"/>
      <c r="D28" s="46"/>
      <c r="E28" s="46"/>
      <c r="F28" s="41"/>
      <c r="G28" s="41"/>
    </row>
  </sheetData>
  <mergeCells count="4">
    <mergeCell ref="A1:L1"/>
    <mergeCell ref="A2:L2"/>
    <mergeCell ref="A3:L3"/>
    <mergeCell ref="A28:E28"/>
  </mergeCells>
  <printOptions horizontalCentered="1"/>
  <pageMargins left="0.4" right="0.4" top="0.5" bottom="0.75" header="0.3" footer="0.3"/>
  <pageSetup scale="77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4097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66675</xdr:rowOff>
              </from>
              <to>
                <xdr:col>0</xdr:col>
                <xdr:colOff>1304925</xdr:colOff>
                <xdr:row>2</xdr:row>
                <xdr:rowOff>142875</xdr:rowOff>
              </to>
            </anchor>
          </objectPr>
        </oleObject>
      </mc:Choice>
      <mc:Fallback>
        <oleObject progId="Visio.Drawing.11" shapeId="409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ea28995-8b9e-4f64-9914-9bc46bbb117a">BUDGET-18609323-26978</_dlc_DocId>
    <_dlc_DocIdUrl xmlns="5ea28995-8b9e-4f64-9914-9bc46bbb117a">
      <Url>https://uwlax.sharepoint.com/sites/budget-office/_layouts/15/DocIdRedir.aspx?ID=BUDGET-18609323-26978</Url>
      <Description>BUDGET-18609323-26978</Description>
    </_dlc_DocIdUrl>
    <LikesCount xmlns="http://schemas.microsoft.com/sharepoint/v3" xsi:nil="true"/>
    <TaxCatchAll xmlns="5ea28995-8b9e-4f64-9914-9bc46bbb117a"/>
    <IconOverlay xmlns="http://schemas.microsoft.com/sharepoint/v4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  <TaxKeywordTaxHTField xmlns="5ea28995-8b9e-4f64-9914-9bc46bbb117a">
      <Terms xmlns="http://schemas.microsoft.com/office/infopath/2007/PartnerControls"/>
    </TaxKeywordTaxHTField>
    <SharedWithUsers xmlns="5ea28995-8b9e-4f64-9914-9bc46bbb117a">
      <UserInfo>
        <DisplayName>Kristin Stanley</DisplayName>
        <AccountId>16</AccountId>
        <AccountType/>
      </UserInfo>
      <UserInfo>
        <DisplayName>Kelly Buchholz</DisplayName>
        <AccountId>883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610E39D96C344A4903BDB47513A1B" ma:contentTypeVersion="20" ma:contentTypeDescription="Create a new document." ma:contentTypeScope="" ma:versionID="fcee9ed548107c3e4e351c1a10aca02b">
  <xsd:schema xmlns:xsd="http://www.w3.org/2001/XMLSchema" xmlns:xs="http://www.w3.org/2001/XMLSchema" xmlns:p="http://schemas.microsoft.com/office/2006/metadata/properties" xmlns:ns1="http://schemas.microsoft.com/sharepoint/v3" xmlns:ns2="5ea28995-8b9e-4f64-9914-9bc46bbb117a" xmlns:ns3="http://schemas.microsoft.com/sharepoint/v4" xmlns:ns4="70223cc4-264a-4955-842e-0e6de6a0d905" targetNamespace="http://schemas.microsoft.com/office/2006/metadata/properties" ma:root="true" ma:fieldsID="4eaa758ece4f611cdd308fc3ff989406" ns1:_="" ns2:_="" ns3:_="" ns4:_="">
    <xsd:import namespace="http://schemas.microsoft.com/sharepoint/v3"/>
    <xsd:import namespace="5ea28995-8b9e-4f64-9914-9bc46bbb117a"/>
    <xsd:import namespace="http://schemas.microsoft.com/sharepoint/v4"/>
    <xsd:import namespace="70223cc4-264a-4955-842e-0e6de6a0d9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TaxKeywordTaxHTField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3:IconOverlay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0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1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2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3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4" nillable="true" ma:displayName="Number of Likes" ma:internalName="LikesCount">
      <xsd:simpleType>
        <xsd:restriction base="dms:Unknown"/>
      </xsd:simpleType>
    </xsd:element>
    <xsd:element name="LikedBy" ma:index="15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28995-8b9e-4f64-9914-9bc46bbb11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c74f3122-44b1-41ea-91ad-831baa7c83a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632ed90c-f00c-4295-88f4-47d234c099f6}" ma:internalName="TaxCatchAll" ma:showField="CatchAllData" ma:web="5ea28995-8b9e-4f64-9914-9bc46bbb1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astSharedByUser" ma:index="2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5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2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23cc4-264a-4955-842e-0e6de6a0d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93F216-C429-4493-8D40-03FF5A9AB15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C9EBFFF-C333-4737-9736-34CE2204FA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87CB4C-6C38-4AFC-BB0D-A667B8E6629F}">
  <ds:schemaRefs>
    <ds:schemaRef ds:uri="http://schemas.openxmlformats.org/package/2006/metadata/core-properties"/>
    <ds:schemaRef ds:uri="http://purl.org/dc/terms/"/>
    <ds:schemaRef ds:uri="70223cc4-264a-4955-842e-0e6de6a0d905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5ea28995-8b9e-4f64-9914-9bc46bbb117a"/>
    <ds:schemaRef ds:uri="http://schemas.microsoft.com/sharepoint/v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0578DF8-57BE-450F-9F96-AA59E4754D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ea28995-8b9e-4f64-9914-9bc46bbb117a"/>
    <ds:schemaRef ds:uri="http://schemas.microsoft.com/sharepoint/v4"/>
    <ds:schemaRef ds:uri="70223cc4-264a-4955-842e-0e6de6a0d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 Funds</vt:lpstr>
      <vt:lpstr>GPR Funds</vt:lpstr>
      <vt:lpstr>By Fund</vt:lpstr>
      <vt:lpstr>By Functional Activity</vt:lpstr>
      <vt:lpstr>'All Funds'!Print_Area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Kristin M</dc:creator>
  <cp:lastModifiedBy>Jason Steiner</cp:lastModifiedBy>
  <cp:lastPrinted>2018-07-17T20:39:11Z</cp:lastPrinted>
  <dcterms:created xsi:type="dcterms:W3CDTF">2012-10-02T18:36:47Z</dcterms:created>
  <dcterms:modified xsi:type="dcterms:W3CDTF">2018-07-17T20:39:19Z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0x0101007FE610E39D96C344A4903BDB47513A1B</vt:lpwstr>
  </property>
  <property fmtid="{D5CDD505-2E9C-101B-9397-08002B2CF9AE}" pid="3" name="_dlc_DocIdItemGuid">
    <vt:lpwstr>f90a5b7f-29de-455b-9610-09c6012905f7</vt:lpwstr>
  </property>
  <property fmtid="{D5CDD505-2E9C-101B-9397-08002B2CF9AE}" pid="4" name="TaxKeyword">
    <vt:lpwstr/>
  </property>
</Properties>
</file>