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vsd" ContentType="application/vnd.visio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tuxen\Desktop\"/>
    </mc:Choice>
  </mc:AlternateContent>
  <bookViews>
    <workbookView xWindow="0" yWindow="0" windowWidth="13800" windowHeight="4110"/>
  </bookViews>
  <sheets>
    <sheet name="All Funds" sheetId="1" r:id="rId1"/>
    <sheet name="GPR Funds" sheetId="5" r:id="rId2"/>
    <sheet name="By Fund" sheetId="4" r:id="rId3"/>
    <sheet name="By Functional Activity" sheetId="6" r:id="rId4"/>
  </sheets>
  <definedNames>
    <definedName name="_xlnm.Print_Area" localSheetId="0">'All Funds'!$A$1:$G$29</definedName>
  </definedNames>
  <calcPr calcId="171027"/>
</workbook>
</file>

<file path=xl/calcChain.xml><?xml version="1.0" encoding="utf-8"?>
<calcChain xmlns="http://schemas.openxmlformats.org/spreadsheetml/2006/main">
  <c r="L13" i="6" l="1"/>
  <c r="L20" i="6" l="1"/>
  <c r="L11" i="6"/>
  <c r="L6" i="6"/>
  <c r="L18" i="6"/>
  <c r="L17" i="6"/>
  <c r="L16" i="6"/>
  <c r="L15" i="6"/>
  <c r="L12" i="6"/>
  <c r="L10" i="6"/>
  <c r="L9" i="6"/>
  <c r="E21" i="1" l="1"/>
  <c r="D21" i="1"/>
  <c r="C21" i="1"/>
  <c r="B21" i="1"/>
  <c r="G19" i="1"/>
  <c r="G18" i="5"/>
  <c r="G20" i="5"/>
  <c r="E20" i="5"/>
  <c r="D20" i="5"/>
  <c r="C20" i="5"/>
  <c r="B20" i="5"/>
  <c r="E9" i="5" l="1"/>
  <c r="D9" i="5"/>
  <c r="C9" i="5"/>
  <c r="C17" i="5" l="1"/>
  <c r="C18" i="1"/>
  <c r="E16" i="5"/>
  <c r="D16" i="5"/>
  <c r="C16" i="5"/>
  <c r="B16" i="5"/>
  <c r="E17" i="1"/>
  <c r="D17" i="1"/>
  <c r="C17" i="1"/>
  <c r="B17" i="1"/>
  <c r="E15" i="5"/>
  <c r="D15" i="5"/>
  <c r="C15" i="5"/>
  <c r="E16" i="1"/>
  <c r="D16" i="1"/>
  <c r="C16" i="1"/>
  <c r="E12" i="5"/>
  <c r="E13" i="5" s="1"/>
  <c r="D12" i="5"/>
  <c r="C12" i="5"/>
  <c r="C13" i="5" s="1"/>
  <c r="B12" i="5"/>
  <c r="E12" i="1"/>
  <c r="D12" i="1"/>
  <c r="C12" i="1"/>
  <c r="B12" i="1"/>
  <c r="D11" i="5"/>
  <c r="D13" i="5" s="1"/>
  <c r="C11" i="5"/>
  <c r="B11" i="5"/>
  <c r="E11" i="1"/>
  <c r="D11" i="1"/>
  <c r="C11" i="1"/>
  <c r="B11" i="1"/>
  <c r="C10" i="5"/>
  <c r="B10" i="5"/>
  <c r="D10" i="1"/>
  <c r="C10" i="1"/>
  <c r="C13" i="6"/>
  <c r="C20" i="6" s="1"/>
  <c r="D13" i="6"/>
  <c r="D20" i="6" s="1"/>
  <c r="E13" i="6"/>
  <c r="E20" i="6" s="1"/>
  <c r="F13" i="6"/>
  <c r="F20" i="6" s="1"/>
  <c r="G13" i="6"/>
  <c r="G20" i="6" s="1"/>
  <c r="H13" i="6"/>
  <c r="H20" i="6" s="1"/>
  <c r="I13" i="6"/>
  <c r="I20" i="6" s="1"/>
  <c r="J13" i="6"/>
  <c r="J20" i="6" s="1"/>
  <c r="B13" i="6"/>
  <c r="B20" i="6" s="1"/>
  <c r="E9" i="1"/>
  <c r="D9" i="1"/>
  <c r="C9" i="1"/>
  <c r="B9" i="1"/>
  <c r="B6" i="5"/>
  <c r="K18" i="6" l="1"/>
  <c r="B13" i="1"/>
  <c r="B13" i="5"/>
  <c r="E13" i="1"/>
  <c r="D13" i="1"/>
  <c r="C13" i="1"/>
  <c r="G21" i="4"/>
  <c r="E19" i="4"/>
  <c r="F16" i="4"/>
  <c r="F14" i="4"/>
  <c r="E14" i="4"/>
  <c r="C14" i="4"/>
  <c r="F13" i="4"/>
  <c r="E13" i="4"/>
  <c r="D13" i="4"/>
  <c r="C13" i="4"/>
  <c r="F12" i="4"/>
  <c r="F11" i="4"/>
  <c r="E11" i="4"/>
  <c r="D11" i="4"/>
  <c r="C11" i="4"/>
  <c r="F10" i="4"/>
  <c r="E10" i="4"/>
  <c r="D10" i="4"/>
  <c r="C10" i="4"/>
  <c r="F6" i="4"/>
  <c r="E6" i="4"/>
  <c r="D6" i="4"/>
  <c r="C6" i="4"/>
  <c r="G13" i="1" l="1"/>
  <c r="E25" i="4"/>
  <c r="G12" i="4" l="1"/>
  <c r="D25" i="4"/>
  <c r="C25" i="4"/>
  <c r="G16" i="4"/>
  <c r="G8" i="4"/>
  <c r="G9" i="4"/>
  <c r="G15" i="4"/>
  <c r="G17" i="4"/>
  <c r="G18" i="4"/>
  <c r="G19" i="4"/>
  <c r="G22" i="4"/>
  <c r="G23" i="4"/>
  <c r="G7" i="4"/>
  <c r="G6" i="4"/>
  <c r="G6" i="5"/>
  <c r="G13" i="4" l="1"/>
  <c r="F25" i="4"/>
  <c r="G14" i="4"/>
  <c r="G11" i="4"/>
  <c r="I6" i="4" s="1"/>
  <c r="G10" i="4"/>
  <c r="G17" i="5"/>
  <c r="G15" i="5"/>
  <c r="G12" i="5"/>
  <c r="G11" i="5"/>
  <c r="G10" i="5"/>
  <c r="G9" i="5"/>
  <c r="G16" i="5"/>
  <c r="K15" i="6" l="1"/>
  <c r="K17" i="6"/>
  <c r="K16" i="6"/>
  <c r="K12" i="6"/>
  <c r="K11" i="6"/>
  <c r="K9" i="6"/>
  <c r="K10" i="6"/>
  <c r="G25" i="4"/>
  <c r="F18" i="5"/>
  <c r="G13" i="5"/>
  <c r="K6" i="6"/>
  <c r="K20" i="6"/>
  <c r="K13" i="6"/>
  <c r="F6" i="5" l="1"/>
  <c r="G21" i="1"/>
  <c r="F19" i="1" s="1"/>
  <c r="F17" i="5"/>
  <c r="F10" i="5"/>
  <c r="F15" i="5"/>
  <c r="F11" i="5"/>
  <c r="F16" i="5"/>
  <c r="F12" i="5"/>
  <c r="F20" i="5"/>
  <c r="F13" i="5"/>
  <c r="F9" i="5"/>
  <c r="G9" i="1"/>
  <c r="G10" i="1"/>
  <c r="G11" i="1"/>
  <c r="G12" i="1"/>
  <c r="G16" i="1"/>
  <c r="G17" i="1"/>
  <c r="G18" i="1"/>
  <c r="G6" i="1"/>
  <c r="F13" i="1" l="1"/>
  <c r="F18" i="1"/>
  <c r="F11" i="1"/>
  <c r="F12" i="1"/>
  <c r="F17" i="1"/>
  <c r="F16" i="1"/>
  <c r="F10" i="1"/>
  <c r="F9" i="1"/>
  <c r="F21" i="1"/>
  <c r="F6" i="1"/>
</calcChain>
</file>

<file path=xl/sharedStrings.xml><?xml version="1.0" encoding="utf-8"?>
<sst xmlns="http://schemas.openxmlformats.org/spreadsheetml/2006/main" count="118" uniqueCount="61">
  <si>
    <t>All Funds Budget by Division &amp; College</t>
  </si>
  <si>
    <t>Division</t>
  </si>
  <si>
    <t>Unclassified</t>
  </si>
  <si>
    <t>Classified</t>
  </si>
  <si>
    <t>S&amp;E &amp; Capital</t>
  </si>
  <si>
    <t>Pct.</t>
  </si>
  <si>
    <t>Total</t>
  </si>
  <si>
    <t>Chancellor</t>
  </si>
  <si>
    <t>Academic Affairs</t>
  </si>
  <si>
    <t>Provost</t>
  </si>
  <si>
    <t>College of Business Administration</t>
  </si>
  <si>
    <t>College of Liberal Studies</t>
  </si>
  <si>
    <t>College of Science &amp; Health</t>
  </si>
  <si>
    <t>Total Academic Affairs</t>
  </si>
  <si>
    <t>Administration &amp; Finance</t>
  </si>
  <si>
    <t>Student Affairs</t>
  </si>
  <si>
    <t>University Advancement</t>
  </si>
  <si>
    <t>University-Wide</t>
  </si>
  <si>
    <t>Notes:</t>
  </si>
  <si>
    <t>GPR Budget by Division</t>
  </si>
  <si>
    <t>Fund</t>
  </si>
  <si>
    <t>Fund Source</t>
  </si>
  <si>
    <t>All Funds Budget Summary</t>
  </si>
  <si>
    <t>GPR-Comprehensives</t>
  </si>
  <si>
    <t>Energy Costs</t>
  </si>
  <si>
    <t>Academic Debt Service</t>
  </si>
  <si>
    <t>Auxiliary Debt Service</t>
  </si>
  <si>
    <t>Auxiliary Enterprises</t>
  </si>
  <si>
    <t>Academic Fees</t>
  </si>
  <si>
    <t>Private Grants &amp; Contracts</t>
  </si>
  <si>
    <t>General Operations Receipts</t>
  </si>
  <si>
    <t>Federal Perkins Loan</t>
  </si>
  <si>
    <t>Federal Pell Grants</t>
  </si>
  <si>
    <t>Direct Student Loans</t>
  </si>
  <si>
    <t>Federal Indirect Cost</t>
  </si>
  <si>
    <t>Minority &amp; Disadvantaged Programs</t>
  </si>
  <si>
    <t>Grad Advanced Opportunity Grants</t>
  </si>
  <si>
    <t>UG Lawton Minority Grants</t>
  </si>
  <si>
    <t>Instruction</t>
  </si>
  <si>
    <t>Research</t>
  </si>
  <si>
    <t>Student Services</t>
  </si>
  <si>
    <t>Institutional Support</t>
  </si>
  <si>
    <t>Public Service</t>
  </si>
  <si>
    <t>Academic Support</t>
  </si>
  <si>
    <t>Physical Plant</t>
  </si>
  <si>
    <t>Financial Aid</t>
  </si>
  <si>
    <t>All Funds Budget by Expenditure Function</t>
  </si>
  <si>
    <t>University of Wisconsin-La Crosse</t>
  </si>
  <si>
    <t>Fr. Benefits   &amp; Other</t>
  </si>
  <si>
    <t>Fr. Benefits    &amp; Other</t>
  </si>
  <si>
    <t>Fr. Benefits     &amp; Other</t>
  </si>
  <si>
    <t>Federal Ed Opportunity Grants</t>
  </si>
  <si>
    <t>Federal Ed Grants &amp; Contracts</t>
  </si>
  <si>
    <t xml:space="preserve">1. Fringe Benefits &amp; Other includes expenditure budgets for Debt Service, Sales Credits, and Financial Aid. </t>
  </si>
  <si>
    <t>Fiscal Year 2015-16</t>
  </si>
  <si>
    <t>Foundation Related Accounts</t>
  </si>
  <si>
    <t>1. University-Wide is the budget category used to record expenditures for Fringe Benefits, Academic Building Debt Service, University</t>
  </si>
  <si>
    <t xml:space="preserve">    Expenditure pools.</t>
  </si>
  <si>
    <t xml:space="preserve">    Reserves, Salary Savings, LMHSC Operations, Common Systems, and Liability, Property, and Worker's Compensation Insurance</t>
  </si>
  <si>
    <t xml:space="preserve">2. Fringe Benefits &amp; Other includes expenditure budgets for Debt Service, Sales Credits, and Financial Aid. </t>
  </si>
  <si>
    <t>3. GPR Fringe Benefits and Debt Service are estimated.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</si>
</sst>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#,##0_);[Red]\(#,##0\);_(* &quot;-&quot;_)"/>
  </numFmts>
  <fonts count="9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/>
    <xf numFmtId="0" fontId="4" fillId="0" borderId="0" xfId="0" applyFont="1"/>
    <xf numFmtId="0" fontId="1" fillId="0" borderId="1" xfId="0" applyFont="1" applyBorder="1" applyAlignment="1">
      <alignment horizontal="left"/>
    </xf>
    <xf numFmtId="41" fontId="3" fillId="0" borderId="1" xfId="0" applyNumberFormat="1" applyFont="1" applyBorder="1"/>
    <xf numFmtId="10" fontId="3" fillId="0" borderId="1" xfId="0" applyNumberFormat="1" applyFont="1" applyBorder="1"/>
    <xf numFmtId="0" fontId="3" fillId="0" borderId="1" xfId="0" applyFont="1" applyBorder="1"/>
    <xf numFmtId="0" fontId="1" fillId="0" borderId="1" xfId="0" applyFont="1" applyBorder="1" applyAlignment="1">
      <alignment horizontal="center"/>
    </xf>
    <xf numFmtId="10" fontId="1" fillId="0" borderId="1" xfId="0" applyNumberFormat="1" applyFont="1" applyBorder="1"/>
    <xf numFmtId="41" fontId="3" fillId="0" borderId="0" xfId="0" applyNumberFormat="1" applyFont="1"/>
    <xf numFmtId="10" fontId="3" fillId="0" borderId="0" xfId="0" applyNumberFormat="1" applyFo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38" fontId="3" fillId="0" borderId="1" xfId="0" applyNumberFormat="1" applyFont="1" applyBorder="1"/>
    <xf numFmtId="38" fontId="1" fillId="0" borderId="1" xfId="0" applyNumberFormat="1" applyFont="1" applyBorder="1"/>
    <xf numFmtId="0" fontId="1" fillId="0" borderId="1" xfId="0" applyFont="1" applyBorder="1" applyAlignment="1">
      <alignment horizontal="left" indent="1"/>
    </xf>
    <xf numFmtId="38" fontId="3" fillId="0" borderId="0" xfId="0" applyNumberFormat="1" applyFont="1"/>
    <xf numFmtId="37" fontId="3" fillId="0" borderId="1" xfId="0" applyNumberFormat="1" applyFont="1" applyBorder="1"/>
    <xf numFmtId="0" fontId="3" fillId="0" borderId="0" xfId="0" applyFont="1" applyAlignment="1"/>
    <xf numFmtId="164" fontId="3" fillId="0" borderId="1" xfId="1" applyNumberFormat="1" applyFont="1" applyBorder="1"/>
    <xf numFmtId="164" fontId="3" fillId="0" borderId="1" xfId="1" applyNumberFormat="1" applyFont="1" applyFill="1" applyBorder="1"/>
    <xf numFmtId="164" fontId="1" fillId="0" borderId="1" xfId="1" applyNumberFormat="1" applyFont="1" applyBorder="1"/>
    <xf numFmtId="0" fontId="7" fillId="0" borderId="1" xfId="0" applyFont="1" applyBorder="1"/>
    <xf numFmtId="38" fontId="7" fillId="0" borderId="1" xfId="0" applyNumberFormat="1" applyFont="1" applyBorder="1"/>
    <xf numFmtId="10" fontId="7" fillId="0" borderId="1" xfId="0" applyNumberFormat="1" applyFont="1" applyBorder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41" fontId="7" fillId="0" borderId="1" xfId="0" applyNumberFormat="1" applyFont="1" applyBorder="1"/>
    <xf numFmtId="0" fontId="8" fillId="0" borderId="1" xfId="0" applyFont="1" applyBorder="1" applyAlignment="1">
      <alignment horizontal="left" indent="1"/>
    </xf>
    <xf numFmtId="0" fontId="8" fillId="0" borderId="1" xfId="0" applyFont="1" applyBorder="1" applyAlignment="1">
      <alignment horizontal="center"/>
    </xf>
    <xf numFmtId="38" fontId="8" fillId="0" borderId="1" xfId="0" applyNumberFormat="1" applyFont="1" applyBorder="1"/>
    <xf numFmtId="10" fontId="8" fillId="0" borderId="1" xfId="0" applyNumberFormat="1" applyFont="1" applyBorder="1"/>
    <xf numFmtId="165" fontId="6" fillId="0" borderId="1" xfId="0" applyNumberFormat="1" applyFont="1" applyBorder="1"/>
    <xf numFmtId="38" fontId="3" fillId="0" borderId="1" xfId="1" applyNumberFormat="1" applyFont="1" applyBorder="1"/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/>
    <xf numFmtId="38" fontId="1" fillId="0" borderId="0" xfId="0" applyNumberFormat="1" applyFont="1"/>
    <xf numFmtId="164" fontId="1" fillId="0" borderId="0" xfId="0" applyNumberFormat="1" applyFont="1"/>
    <xf numFmtId="0" fontId="1" fillId="0" borderId="2" xfId="0" applyFont="1" applyBorder="1" applyAlignment="1"/>
    <xf numFmtId="0" fontId="3" fillId="0" borderId="0" xfId="0" applyFont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1266825</xdr:colOff>
          <xdr:row>2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1266825</xdr:colOff>
          <xdr:row>2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66675</xdr:rowOff>
        </xdr:from>
        <xdr:to>
          <xdr:col>1</xdr:col>
          <xdr:colOff>590550</xdr:colOff>
          <xdr:row>2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66675</xdr:rowOff>
        </xdr:from>
        <xdr:to>
          <xdr:col>0</xdr:col>
          <xdr:colOff>1304925</xdr:colOff>
          <xdr:row>2</xdr:row>
          <xdr:rowOff>142875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.vsd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1.vsd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2.vsd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3.vsd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1"/>
  <sheetViews>
    <sheetView tabSelected="1" zoomScaleNormal="100" workbookViewId="0">
      <selection activeCell="F21" sqref="F21"/>
    </sheetView>
  </sheetViews>
  <sheetFormatPr defaultColWidth="9.140625" defaultRowHeight="15" x14ac:dyDescent="0.25"/>
  <cols>
    <col min="1" max="1" width="30.140625" style="5" customWidth="1"/>
    <col min="2" max="7" width="13.42578125" style="5" customWidth="1"/>
    <col min="8" max="8" width="10" style="5" bestFit="1" customWidth="1"/>
    <col min="9" max="10" width="9.140625" style="5"/>
    <col min="11" max="16384" width="9.140625" style="6"/>
  </cols>
  <sheetData>
    <row r="1" spans="1:10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1"/>
      <c r="I1" s="1"/>
      <c r="J1" s="1"/>
    </row>
    <row r="2" spans="1:10" s="2" customFormat="1" ht="13.5" customHeight="1" x14ac:dyDescent="0.25">
      <c r="A2" s="44" t="s">
        <v>0</v>
      </c>
      <c r="B2" s="44"/>
      <c r="C2" s="44"/>
      <c r="D2" s="44"/>
      <c r="E2" s="44"/>
      <c r="F2" s="44"/>
      <c r="G2" s="44"/>
      <c r="H2" s="1"/>
      <c r="I2" s="1"/>
      <c r="J2" s="1"/>
    </row>
    <row r="3" spans="1:10" s="2" customFormat="1" ht="13.5" customHeight="1" x14ac:dyDescent="0.25">
      <c r="A3" s="44" t="s">
        <v>54</v>
      </c>
      <c r="B3" s="44"/>
      <c r="C3" s="44"/>
      <c r="D3" s="44"/>
      <c r="E3" s="44"/>
      <c r="F3" s="44"/>
      <c r="G3" s="44"/>
      <c r="H3" s="1"/>
      <c r="I3" s="1"/>
      <c r="J3" s="1"/>
    </row>
    <row r="4" spans="1:10" s="2" customFormat="1" ht="13.5" customHeight="1" x14ac:dyDescent="0.25">
      <c r="A4" s="45"/>
      <c r="B4" s="45"/>
      <c r="C4" s="45"/>
      <c r="D4" s="45"/>
      <c r="E4" s="45"/>
      <c r="F4" s="45"/>
      <c r="G4" s="45"/>
      <c r="H4" s="1"/>
      <c r="I4" s="1"/>
      <c r="J4" s="1"/>
    </row>
    <row r="5" spans="1:10" ht="27.95" customHeight="1" x14ac:dyDescent="0.25">
      <c r="A5" s="3" t="s">
        <v>1</v>
      </c>
      <c r="B5" s="3" t="s">
        <v>2</v>
      </c>
      <c r="C5" s="3" t="s">
        <v>3</v>
      </c>
      <c r="D5" s="3" t="s">
        <v>4</v>
      </c>
      <c r="E5" s="3" t="s">
        <v>48</v>
      </c>
      <c r="F5" s="3" t="s">
        <v>5</v>
      </c>
      <c r="G5" s="3" t="s">
        <v>6</v>
      </c>
      <c r="H5" s="4"/>
    </row>
    <row r="6" spans="1:10" ht="13.5" customHeight="1" x14ac:dyDescent="0.25">
      <c r="A6" s="26" t="s">
        <v>7</v>
      </c>
      <c r="B6" s="27">
        <v>355614</v>
      </c>
      <c r="C6" s="27">
        <v>56039</v>
      </c>
      <c r="D6" s="27">
        <v>60900</v>
      </c>
      <c r="E6" s="8">
        <v>0</v>
      </c>
      <c r="F6" s="28">
        <f>G6/$G$21</f>
        <v>2.0933893443477532E-3</v>
      </c>
      <c r="G6" s="27">
        <f>B6+C6+D6+E6</f>
        <v>472553</v>
      </c>
      <c r="H6" s="4"/>
    </row>
    <row r="7" spans="1:10" ht="13.5" customHeight="1" x14ac:dyDescent="0.25">
      <c r="A7" s="29"/>
      <c r="B7" s="29"/>
      <c r="C7" s="29"/>
      <c r="D7" s="29"/>
      <c r="E7" s="29"/>
      <c r="F7" s="29"/>
      <c r="G7" s="29"/>
      <c r="H7" s="4"/>
    </row>
    <row r="8" spans="1:10" ht="13.5" customHeight="1" x14ac:dyDescent="0.25">
      <c r="A8" s="30" t="s">
        <v>8</v>
      </c>
      <c r="B8" s="31"/>
      <c r="C8" s="31"/>
      <c r="D8" s="31"/>
      <c r="E8" s="31"/>
      <c r="F8" s="28"/>
      <c r="G8" s="31"/>
    </row>
    <row r="9" spans="1:10" ht="13.5" customHeight="1" x14ac:dyDescent="0.25">
      <c r="A9" s="26" t="s">
        <v>9</v>
      </c>
      <c r="B9" s="27">
        <f>8316315+20654</f>
        <v>8336969</v>
      </c>
      <c r="C9" s="27">
        <f>1679525+5320+221559</f>
        <v>1906404</v>
      </c>
      <c r="D9" s="27">
        <f>5476281+1046052</f>
        <v>6522333</v>
      </c>
      <c r="E9" s="27">
        <f>57493784+1785010</f>
        <v>59278794</v>
      </c>
      <c r="F9" s="28">
        <f>G9/$G$21</f>
        <v>0.33687384483063854</v>
      </c>
      <c r="G9" s="27">
        <f t="shared" ref="G9:G19" si="0">B9+C9+D9+E9</f>
        <v>76044500</v>
      </c>
    </row>
    <row r="10" spans="1:10" ht="13.5" customHeight="1" x14ac:dyDescent="0.25">
      <c r="A10" s="26" t="s">
        <v>10</v>
      </c>
      <c r="B10" s="27">
        <v>6502638</v>
      </c>
      <c r="C10" s="27">
        <f>265219+2000+25264</f>
        <v>292483</v>
      </c>
      <c r="D10" s="27">
        <f>470069</f>
        <v>470069</v>
      </c>
      <c r="E10" s="27">
        <v>737423</v>
      </c>
      <c r="F10" s="28">
        <f>G10/$G$21</f>
        <v>3.545122934599676E-2</v>
      </c>
      <c r="G10" s="27">
        <f t="shared" si="0"/>
        <v>8002613</v>
      </c>
    </row>
    <row r="11" spans="1:10" ht="13.5" customHeight="1" x14ac:dyDescent="0.25">
      <c r="A11" s="26" t="s">
        <v>11</v>
      </c>
      <c r="B11" s="27">
        <f>12528848+10327</f>
        <v>12539175</v>
      </c>
      <c r="C11" s="27">
        <f>577998+105275</f>
        <v>683273</v>
      </c>
      <c r="D11" s="27">
        <f>982284+5137</f>
        <v>987421</v>
      </c>
      <c r="E11" s="27">
        <f>1000+1685868</f>
        <v>1686868</v>
      </c>
      <c r="F11" s="28">
        <f>G11/$G$21</f>
        <v>7.0421857115918571E-2</v>
      </c>
      <c r="G11" s="27">
        <f t="shared" si="0"/>
        <v>15896737</v>
      </c>
    </row>
    <row r="12" spans="1:10" ht="13.5" customHeight="1" x14ac:dyDescent="0.25">
      <c r="A12" s="26" t="s">
        <v>12</v>
      </c>
      <c r="B12" s="27">
        <f>16572694+148672</f>
        <v>16721366</v>
      </c>
      <c r="C12" s="27">
        <f>585329+13800+246883</f>
        <v>846012</v>
      </c>
      <c r="D12" s="27">
        <f>2264428+29737</f>
        <v>2294165</v>
      </c>
      <c r="E12" s="27">
        <f>2377003+7000-15000</f>
        <v>2369003</v>
      </c>
      <c r="F12" s="28">
        <f>G12/$G$21</f>
        <v>9.8480356945004205E-2</v>
      </c>
      <c r="G12" s="27">
        <f t="shared" si="0"/>
        <v>22230546</v>
      </c>
    </row>
    <row r="13" spans="1:10" ht="13.5" customHeight="1" x14ac:dyDescent="0.25">
      <c r="A13" s="32" t="s">
        <v>13</v>
      </c>
      <c r="B13" s="27">
        <f>SUM(B9:B12)</f>
        <v>44100148</v>
      </c>
      <c r="C13" s="27">
        <f t="shared" ref="C13:E13" si="1">SUM(C9:C12)</f>
        <v>3728172</v>
      </c>
      <c r="D13" s="27">
        <f t="shared" si="1"/>
        <v>10273988</v>
      </c>
      <c r="E13" s="27">
        <f t="shared" si="1"/>
        <v>64072088</v>
      </c>
      <c r="F13" s="28">
        <f>G13/$G$21</f>
        <v>0.54122728823755806</v>
      </c>
      <c r="G13" s="27">
        <f>B13+C13+D13+E13</f>
        <v>122174396</v>
      </c>
    </row>
    <row r="14" spans="1:10" ht="13.5" customHeight="1" x14ac:dyDescent="0.25">
      <c r="A14" s="33"/>
      <c r="B14" s="27"/>
      <c r="C14" s="27"/>
      <c r="D14" s="27"/>
      <c r="E14" s="27"/>
      <c r="F14" s="28"/>
      <c r="G14" s="27"/>
    </row>
    <row r="15" spans="1:10" ht="13.5" customHeight="1" x14ac:dyDescent="0.25">
      <c r="A15" s="26"/>
      <c r="B15" s="27"/>
      <c r="C15" s="27"/>
      <c r="D15" s="27"/>
      <c r="E15" s="27"/>
      <c r="F15" s="28"/>
      <c r="G15" s="27"/>
    </row>
    <row r="16" spans="1:10" ht="13.5" customHeight="1" x14ac:dyDescent="0.25">
      <c r="A16" s="26" t="s">
        <v>14</v>
      </c>
      <c r="B16" s="27">
        <v>2676931</v>
      </c>
      <c r="C16" s="27">
        <f>7786337+46032+262023</f>
        <v>8094392</v>
      </c>
      <c r="D16" s="27">
        <f>10515162+782437</f>
        <v>11297599</v>
      </c>
      <c r="E16" s="27">
        <f>575735+25000-3919371+460378</f>
        <v>-2858258</v>
      </c>
      <c r="F16" s="28">
        <f>G16/$G$21</f>
        <v>8.5102410344331719E-2</v>
      </c>
      <c r="G16" s="27">
        <f t="shared" si="0"/>
        <v>19210664</v>
      </c>
    </row>
    <row r="17" spans="1:8" ht="13.5" customHeight="1" x14ac:dyDescent="0.25">
      <c r="A17" s="26" t="s">
        <v>15</v>
      </c>
      <c r="B17" s="27">
        <f>5671708+258186</f>
        <v>5929894</v>
      </c>
      <c r="C17" s="27">
        <f>2251686+45215+1566846</f>
        <v>3863747</v>
      </c>
      <c r="D17" s="27">
        <f>18855619+1900</f>
        <v>18857519</v>
      </c>
      <c r="E17" s="27">
        <f>3302716+10472099+97393-413570</f>
        <v>13458638</v>
      </c>
      <c r="F17" s="28">
        <f>G17/$G$21</f>
        <v>0.18654458320196113</v>
      </c>
      <c r="G17" s="27">
        <f t="shared" si="0"/>
        <v>42109798</v>
      </c>
    </row>
    <row r="18" spans="1:8" ht="13.5" customHeight="1" x14ac:dyDescent="0.25">
      <c r="A18" s="26" t="s">
        <v>16</v>
      </c>
      <c r="B18" s="27">
        <v>869694</v>
      </c>
      <c r="C18" s="27">
        <f>204520+70324</f>
        <v>274844</v>
      </c>
      <c r="D18" s="27">
        <v>135889</v>
      </c>
      <c r="E18" s="27">
        <v>140859</v>
      </c>
      <c r="F18" s="28">
        <f>G18/$G$21</f>
        <v>6.2962354861161411E-3</v>
      </c>
      <c r="G18" s="27">
        <f t="shared" si="0"/>
        <v>1421286</v>
      </c>
    </row>
    <row r="19" spans="1:8" x14ac:dyDescent="0.25">
      <c r="A19" s="26" t="s">
        <v>17</v>
      </c>
      <c r="B19" s="27">
        <v>921064</v>
      </c>
      <c r="C19" s="27">
        <v>19484</v>
      </c>
      <c r="D19" s="27">
        <v>8005977</v>
      </c>
      <c r="E19" s="27">
        <v>31400617</v>
      </c>
      <c r="F19" s="28">
        <f>G19/$G$21</f>
        <v>0.17873609338568519</v>
      </c>
      <c r="G19" s="27">
        <f t="shared" si="0"/>
        <v>40347142</v>
      </c>
    </row>
    <row r="20" spans="1:8" ht="13.5" customHeight="1" x14ac:dyDescent="0.25">
      <c r="A20" s="26"/>
      <c r="B20" s="27"/>
      <c r="C20" s="27"/>
      <c r="D20" s="27"/>
      <c r="E20" s="27"/>
      <c r="F20" s="28"/>
      <c r="G20" s="27"/>
    </row>
    <row r="21" spans="1:8" x14ac:dyDescent="0.25">
      <c r="A21" s="32" t="s">
        <v>6</v>
      </c>
      <c r="B21" s="34">
        <f>SUM(B13:B19) + B6</f>
        <v>54853345</v>
      </c>
      <c r="C21" s="34">
        <f>SUM(C13:C19) + C6</f>
        <v>16036678</v>
      </c>
      <c r="D21" s="34">
        <f>SUM(D13:D19) + D6</f>
        <v>48631872</v>
      </c>
      <c r="E21" s="34">
        <f>SUM(E13:E19) + E6</f>
        <v>106213944</v>
      </c>
      <c r="F21" s="35">
        <f>G21/$G$21</f>
        <v>1</v>
      </c>
      <c r="G21" s="34">
        <f>B21+C21+D21+E21</f>
        <v>225735839</v>
      </c>
    </row>
    <row r="22" spans="1:8" ht="13.5" customHeight="1" x14ac:dyDescent="0.25">
      <c r="B22" s="13"/>
      <c r="C22" s="13"/>
      <c r="D22" s="13"/>
      <c r="E22" s="13"/>
      <c r="F22" s="14"/>
      <c r="G22" s="13"/>
    </row>
    <row r="23" spans="1:8" ht="13.5" customHeight="1" x14ac:dyDescent="0.25">
      <c r="A23" s="5" t="s">
        <v>18</v>
      </c>
      <c r="B23" s="13"/>
      <c r="C23" s="13"/>
      <c r="D23" s="13"/>
      <c r="E23" s="13"/>
      <c r="F23" s="14"/>
      <c r="G23" s="13"/>
    </row>
    <row r="24" spans="1:8" ht="13.5" customHeight="1" x14ac:dyDescent="0.25">
      <c r="A24" s="5" t="s">
        <v>56</v>
      </c>
      <c r="F24" s="14"/>
    </row>
    <row r="25" spans="1:8" ht="13.5" customHeight="1" x14ac:dyDescent="0.25">
      <c r="A25" s="46" t="s">
        <v>58</v>
      </c>
      <c r="B25" s="46"/>
      <c r="C25" s="46"/>
      <c r="D25" s="46"/>
      <c r="E25" s="46"/>
      <c r="F25" s="46"/>
      <c r="G25" s="46"/>
    </row>
    <row r="26" spans="1:8" ht="13.5" customHeight="1" x14ac:dyDescent="0.25">
      <c r="A26" s="5" t="s">
        <v>57</v>
      </c>
    </row>
    <row r="27" spans="1:8" ht="13.5" customHeight="1" x14ac:dyDescent="0.25">
      <c r="A27" s="46" t="s">
        <v>59</v>
      </c>
      <c r="B27" s="46"/>
      <c r="C27" s="46"/>
      <c r="D27" s="46"/>
      <c r="E27" s="46"/>
      <c r="F27" s="46"/>
      <c r="G27" s="46"/>
      <c r="H27" s="46"/>
    </row>
    <row r="28" spans="1:8" ht="13.5" customHeight="1" x14ac:dyDescent="0.25">
      <c r="A28" s="46" t="s">
        <v>60</v>
      </c>
      <c r="B28" s="46"/>
      <c r="C28" s="46"/>
      <c r="D28" s="46"/>
      <c r="E28" s="46"/>
      <c r="F28" s="46"/>
      <c r="G28" s="46"/>
    </row>
    <row r="29" spans="1:8" ht="13.5" customHeight="1" x14ac:dyDescent="0.25">
      <c r="A29" s="46"/>
      <c r="B29" s="46"/>
      <c r="C29" s="46"/>
      <c r="D29" s="46"/>
      <c r="E29" s="46"/>
      <c r="F29" s="46"/>
      <c r="G29" s="46"/>
    </row>
    <row r="30" spans="1:8" ht="13.5" customHeight="1" x14ac:dyDescent="0.25"/>
    <row r="31" spans="1:8" ht="13.5" customHeight="1" x14ac:dyDescent="0.25"/>
  </sheetData>
  <mergeCells count="8">
    <mergeCell ref="A1:G1"/>
    <mergeCell ref="A2:G2"/>
    <mergeCell ref="A3:G3"/>
    <mergeCell ref="A4:G4"/>
    <mergeCell ref="A29:G29"/>
    <mergeCell ref="A28:G28"/>
    <mergeCell ref="A25:G25"/>
    <mergeCell ref="A27:H27"/>
  </mergeCells>
  <printOptions horizontalCentered="1"/>
  <pageMargins left="0.7" right="0.7" top="0.75" bottom="0.75" header="0.3" footer="0.3"/>
  <pageSetup scale="81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1266825</xdr:colOff>
                <xdr:row>2</xdr:row>
                <xdr:rowOff>133350</xdr:rowOff>
              </to>
            </anchor>
          </objectPr>
        </oleObject>
      </mc:Choice>
      <mc:Fallback>
        <oleObject progId="Visio.Drawing.11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9"/>
  <sheetViews>
    <sheetView zoomScaleNormal="100" workbookViewId="0">
      <selection activeCell="H18" sqref="H18"/>
    </sheetView>
  </sheetViews>
  <sheetFormatPr defaultColWidth="9.140625" defaultRowHeight="15" x14ac:dyDescent="0.25"/>
  <cols>
    <col min="1" max="1" width="30.7109375" style="5" customWidth="1"/>
    <col min="2" max="6" width="13.140625" style="5" customWidth="1"/>
    <col min="7" max="7" width="13.85546875" style="5" customWidth="1"/>
    <col min="8" max="8" width="10" style="5" bestFit="1" customWidth="1"/>
    <col min="9" max="10" width="9.140625" style="5"/>
    <col min="11" max="16384" width="9.140625" style="6"/>
  </cols>
  <sheetData>
    <row r="1" spans="1:10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1"/>
      <c r="I1" s="1"/>
      <c r="J1" s="1"/>
    </row>
    <row r="2" spans="1:10" s="2" customFormat="1" ht="13.5" customHeight="1" x14ac:dyDescent="0.25">
      <c r="A2" s="44" t="s">
        <v>19</v>
      </c>
      <c r="B2" s="44"/>
      <c r="C2" s="44"/>
      <c r="D2" s="44"/>
      <c r="E2" s="44"/>
      <c r="F2" s="44"/>
      <c r="G2" s="44"/>
      <c r="H2" s="1"/>
      <c r="I2" s="1"/>
      <c r="J2" s="1"/>
    </row>
    <row r="3" spans="1:10" s="2" customFormat="1" ht="13.5" customHeight="1" x14ac:dyDescent="0.25">
      <c r="A3" s="44" t="s">
        <v>54</v>
      </c>
      <c r="B3" s="44"/>
      <c r="C3" s="44"/>
      <c r="D3" s="44"/>
      <c r="E3" s="44"/>
      <c r="F3" s="44"/>
      <c r="G3" s="44"/>
      <c r="H3" s="1"/>
      <c r="I3" s="1"/>
      <c r="J3" s="1"/>
    </row>
    <row r="4" spans="1:10" s="2" customFormat="1" ht="13.5" customHeight="1" x14ac:dyDescent="0.25">
      <c r="A4" s="45"/>
      <c r="B4" s="45"/>
      <c r="C4" s="45"/>
      <c r="D4" s="45"/>
      <c r="E4" s="45"/>
      <c r="F4" s="45"/>
      <c r="G4" s="45"/>
      <c r="H4" s="1"/>
      <c r="I4" s="1"/>
      <c r="J4" s="1"/>
    </row>
    <row r="5" spans="1:10" ht="27.95" customHeight="1" x14ac:dyDescent="0.25">
      <c r="A5" s="3" t="s">
        <v>1</v>
      </c>
      <c r="B5" s="3" t="s">
        <v>2</v>
      </c>
      <c r="C5" s="3" t="s">
        <v>3</v>
      </c>
      <c r="D5" s="3" t="s">
        <v>4</v>
      </c>
      <c r="E5" s="38" t="s">
        <v>49</v>
      </c>
      <c r="F5" s="3" t="s">
        <v>5</v>
      </c>
      <c r="G5" s="3" t="s">
        <v>6</v>
      </c>
      <c r="H5" s="4"/>
    </row>
    <row r="6" spans="1:10" ht="13.5" customHeight="1" x14ac:dyDescent="0.25">
      <c r="A6" s="10" t="s">
        <v>7</v>
      </c>
      <c r="B6" s="17">
        <f>355614</f>
        <v>355614</v>
      </c>
      <c r="C6" s="17">
        <v>56039</v>
      </c>
      <c r="D6" s="17">
        <v>27000</v>
      </c>
      <c r="E6" s="8"/>
      <c r="F6" s="9">
        <f>G6/$G$20</f>
        <v>4.006616054770199E-3</v>
      </c>
      <c r="G6" s="17">
        <f>B6+C6+D6+E6</f>
        <v>438653</v>
      </c>
      <c r="H6" s="4"/>
    </row>
    <row r="7" spans="1:10" ht="13.5" customHeight="1" x14ac:dyDescent="0.25">
      <c r="A7" s="3"/>
      <c r="B7" s="3"/>
      <c r="C7" s="3"/>
      <c r="D7" s="3"/>
      <c r="E7" s="3"/>
      <c r="F7" s="3"/>
      <c r="G7" s="3"/>
      <c r="H7" s="4"/>
    </row>
    <row r="8" spans="1:10" ht="13.5" customHeight="1" x14ac:dyDescent="0.25">
      <c r="A8" s="7" t="s">
        <v>8</v>
      </c>
      <c r="B8" s="8"/>
      <c r="C8" s="8"/>
      <c r="D8" s="8"/>
      <c r="E8" s="8"/>
      <c r="F8" s="9"/>
      <c r="G8" s="8"/>
    </row>
    <row r="9" spans="1:10" ht="13.5" customHeight="1" x14ac:dyDescent="0.25">
      <c r="A9" s="10" t="s">
        <v>9</v>
      </c>
      <c r="B9" s="36">
        <v>6826212</v>
      </c>
      <c r="C9" s="36">
        <f>1353857+5320+130452</f>
        <v>1489629</v>
      </c>
      <c r="D9" s="17">
        <f>1456877+1032177</f>
        <v>2489054</v>
      </c>
      <c r="E9" s="17">
        <f>753159+943085</f>
        <v>1696244</v>
      </c>
      <c r="F9" s="9">
        <f>G9/$G$20</f>
        <v>0.11418425092342666</v>
      </c>
      <c r="G9" s="17">
        <f t="shared" ref="G9:G17" si="0">B9+C9+D9+E9</f>
        <v>12501139</v>
      </c>
    </row>
    <row r="10" spans="1:10" ht="13.5" customHeight="1" x14ac:dyDescent="0.25">
      <c r="A10" s="39" t="s">
        <v>10</v>
      </c>
      <c r="B10" s="36">
        <f>4662696+28145+1686823</f>
        <v>6377664</v>
      </c>
      <c r="C10" s="36">
        <f>184308+34846+34684+1764+20500</f>
        <v>276102</v>
      </c>
      <c r="D10" s="36">
        <v>377427</v>
      </c>
      <c r="E10" s="8">
        <v>682506</v>
      </c>
      <c r="F10" s="9">
        <f>G10/$G$20</f>
        <v>7.0456215402755332E-2</v>
      </c>
      <c r="G10" s="17">
        <f t="shared" si="0"/>
        <v>7713699</v>
      </c>
    </row>
    <row r="11" spans="1:10" ht="13.5" customHeight="1" x14ac:dyDescent="0.25">
      <c r="A11" s="39" t="s">
        <v>11</v>
      </c>
      <c r="B11" s="36">
        <f>12515548+10327</f>
        <v>12525875</v>
      </c>
      <c r="C11" s="36">
        <f>577998+86225</f>
        <v>664223</v>
      </c>
      <c r="D11" s="17">
        <f>836083+5137</f>
        <v>841220</v>
      </c>
      <c r="E11" s="8">
        <v>1683219</v>
      </c>
      <c r="F11" s="9">
        <f>G11/$G$20</f>
        <v>0.14353513195505405</v>
      </c>
      <c r="G11" s="17">
        <f t="shared" si="0"/>
        <v>15714537</v>
      </c>
    </row>
    <row r="12" spans="1:10" ht="13.5" customHeight="1" x14ac:dyDescent="0.25">
      <c r="A12" s="39" t="s">
        <v>12</v>
      </c>
      <c r="B12" s="17">
        <f>16330963+148672</f>
        <v>16479635</v>
      </c>
      <c r="C12" s="17">
        <f>581895+215883</f>
        <v>797778</v>
      </c>
      <c r="D12" s="17">
        <f>1869576+10687</f>
        <v>1880263</v>
      </c>
      <c r="E12" s="17">
        <f>7000+2233209</f>
        <v>2240209</v>
      </c>
      <c r="F12" s="9">
        <f>G12/$G$20</f>
        <v>0.19544630853801623</v>
      </c>
      <c r="G12" s="17">
        <f t="shared" si="0"/>
        <v>21397885</v>
      </c>
    </row>
    <row r="13" spans="1:10" s="2" customFormat="1" ht="13.5" customHeight="1" x14ac:dyDescent="0.25">
      <c r="A13" s="19" t="s">
        <v>13</v>
      </c>
      <c r="B13" s="18">
        <f>SUM(B9:B12)</f>
        <v>42209386</v>
      </c>
      <c r="C13" s="18">
        <f t="shared" ref="C13:E13" si="1">SUM(C9:C12)</f>
        <v>3227732</v>
      </c>
      <c r="D13" s="18">
        <f t="shared" si="1"/>
        <v>5587964</v>
      </c>
      <c r="E13" s="18">
        <f t="shared" si="1"/>
        <v>6302178</v>
      </c>
      <c r="F13" s="12">
        <f>G13/$G$20</f>
        <v>0.52362190681925225</v>
      </c>
      <c r="G13" s="18">
        <f t="shared" si="0"/>
        <v>57327260</v>
      </c>
      <c r="H13" s="1"/>
      <c r="I13" s="1"/>
      <c r="J13" s="1"/>
    </row>
    <row r="14" spans="1:10" ht="13.5" customHeight="1" x14ac:dyDescent="0.25">
      <c r="A14" s="11"/>
      <c r="B14" s="17"/>
      <c r="C14" s="17"/>
      <c r="D14" s="17"/>
      <c r="E14" s="17"/>
      <c r="F14" s="9"/>
      <c r="G14" s="17"/>
    </row>
    <row r="15" spans="1:10" ht="13.5" customHeight="1" x14ac:dyDescent="0.25">
      <c r="A15" s="39" t="s">
        <v>14</v>
      </c>
      <c r="B15" s="21">
        <v>2579446</v>
      </c>
      <c r="C15" s="21">
        <f>7312207+34032+234523</f>
        <v>7580762</v>
      </c>
      <c r="D15" s="21">
        <f>6043775+170568</f>
        <v>6214343</v>
      </c>
      <c r="E15" s="17">
        <f>266166-1397712</f>
        <v>-1131546</v>
      </c>
      <c r="F15" s="9">
        <f>G15/$G$20</f>
        <v>0.13922820214598425</v>
      </c>
      <c r="G15" s="17">
        <f t="shared" si="0"/>
        <v>15243005</v>
      </c>
    </row>
    <row r="16" spans="1:10" ht="13.5" customHeight="1" x14ac:dyDescent="0.25">
      <c r="A16" s="10" t="s">
        <v>15</v>
      </c>
      <c r="B16" s="21">
        <f>1872299+30982</f>
        <v>1903281</v>
      </c>
      <c r="C16" s="36">
        <f>144272+68906</f>
        <v>213178</v>
      </c>
      <c r="D16" s="36">
        <f>155342</f>
        <v>155342</v>
      </c>
      <c r="E16" s="8">
        <f>322448</f>
        <v>322448</v>
      </c>
      <c r="F16" s="9">
        <f>G16/$G$20</f>
        <v>2.369563115599696E-2</v>
      </c>
      <c r="G16" s="17">
        <f t="shared" si="0"/>
        <v>2594249</v>
      </c>
    </row>
    <row r="17" spans="1:8" ht="13.5" customHeight="1" x14ac:dyDescent="0.25">
      <c r="A17" s="39" t="s">
        <v>16</v>
      </c>
      <c r="B17" s="21">
        <v>783198</v>
      </c>
      <c r="C17" s="21">
        <f>204520+70324</f>
        <v>274844</v>
      </c>
      <c r="D17" s="21">
        <v>111882</v>
      </c>
      <c r="E17" s="8">
        <v>105994</v>
      </c>
      <c r="F17" s="9">
        <f>G17/$G$20</f>
        <v>1.1654117362403274E-2</v>
      </c>
      <c r="G17" s="17">
        <f t="shared" si="0"/>
        <v>1275918</v>
      </c>
    </row>
    <row r="18" spans="1:8" ht="13.5" customHeight="1" x14ac:dyDescent="0.25">
      <c r="A18" s="39" t="s">
        <v>17</v>
      </c>
      <c r="B18" s="31">
        <v>1430782</v>
      </c>
      <c r="C18" s="31">
        <v>172256</v>
      </c>
      <c r="D18" s="31">
        <v>2051522</v>
      </c>
      <c r="E18" s="31">
        <v>28948520</v>
      </c>
      <c r="F18" s="9">
        <f>G18/$G$20</f>
        <v>0.29779352646159307</v>
      </c>
      <c r="G18" s="17">
        <f>B18+C18+D18+E18</f>
        <v>32603080</v>
      </c>
    </row>
    <row r="19" spans="1:8" ht="13.5" customHeight="1" x14ac:dyDescent="0.25">
      <c r="A19" s="10"/>
      <c r="B19" s="17"/>
      <c r="C19" s="17"/>
      <c r="D19" s="17"/>
      <c r="E19" s="17"/>
      <c r="F19" s="9"/>
      <c r="G19" s="17"/>
    </row>
    <row r="20" spans="1:8" x14ac:dyDescent="0.25">
      <c r="A20" s="19" t="s">
        <v>6</v>
      </c>
      <c r="B20" s="18">
        <f>SUM(B13:B18) +B6</f>
        <v>49261707</v>
      </c>
      <c r="C20" s="18">
        <f>SUM(C13:C18) +C6</f>
        <v>11524811</v>
      </c>
      <c r="D20" s="18">
        <f>SUM(D13:D18) +D6</f>
        <v>14148053</v>
      </c>
      <c r="E20" s="18">
        <f>SUM(E13:E18) +E6</f>
        <v>34547594</v>
      </c>
      <c r="F20" s="12">
        <f>G20/$G$20</f>
        <v>1</v>
      </c>
      <c r="G20" s="18">
        <f>B20+C20+D20+E20</f>
        <v>109482165</v>
      </c>
    </row>
    <row r="21" spans="1:8" ht="13.5" customHeight="1" x14ac:dyDescent="0.25">
      <c r="B21" s="13"/>
      <c r="C21" s="13"/>
      <c r="D21" s="13"/>
      <c r="E21" s="13"/>
      <c r="F21" s="14"/>
      <c r="G21" s="13"/>
      <c r="H21" s="20"/>
    </row>
    <row r="22" spans="1:8" ht="13.5" customHeight="1" x14ac:dyDescent="0.25">
      <c r="A22" s="5" t="s">
        <v>18</v>
      </c>
      <c r="B22" s="13"/>
      <c r="C22" s="13"/>
      <c r="D22" s="13"/>
      <c r="E22" s="13"/>
      <c r="F22" s="14"/>
      <c r="G22" s="13"/>
    </row>
    <row r="23" spans="1:8" ht="13.5" customHeight="1" x14ac:dyDescent="0.25">
      <c r="A23" s="5" t="s">
        <v>56</v>
      </c>
      <c r="F23" s="14"/>
    </row>
    <row r="24" spans="1:8" ht="13.5" customHeight="1" x14ac:dyDescent="0.25">
      <c r="A24" s="46" t="s">
        <v>58</v>
      </c>
      <c r="B24" s="46"/>
      <c r="C24" s="46"/>
      <c r="D24" s="46"/>
      <c r="E24" s="46"/>
      <c r="F24" s="46"/>
      <c r="G24" s="46"/>
    </row>
    <row r="25" spans="1:8" ht="13.5" customHeight="1" x14ac:dyDescent="0.25">
      <c r="A25" s="5" t="s">
        <v>57</v>
      </c>
    </row>
    <row r="26" spans="1:8" ht="13.5" customHeight="1" x14ac:dyDescent="0.25">
      <c r="A26" s="46" t="s">
        <v>59</v>
      </c>
      <c r="B26" s="46"/>
      <c r="C26" s="46"/>
      <c r="D26" s="46"/>
      <c r="E26" s="46"/>
      <c r="F26" s="46"/>
      <c r="G26" s="46"/>
      <c r="H26" s="46"/>
    </row>
    <row r="27" spans="1:8" ht="13.5" customHeight="1" x14ac:dyDescent="0.25">
      <c r="A27" s="46" t="s">
        <v>60</v>
      </c>
      <c r="B27" s="46"/>
      <c r="C27" s="46"/>
      <c r="D27" s="46"/>
      <c r="E27" s="46"/>
      <c r="F27" s="46"/>
      <c r="G27" s="46"/>
    </row>
    <row r="28" spans="1:8" ht="13.5" customHeight="1" x14ac:dyDescent="0.25">
      <c r="A28" s="47"/>
      <c r="B28" s="47"/>
      <c r="C28" s="47"/>
      <c r="D28" s="47"/>
      <c r="E28" s="47"/>
      <c r="F28" s="47"/>
      <c r="G28" s="47"/>
      <c r="H28" s="22"/>
    </row>
    <row r="29" spans="1:8" ht="13.5" customHeight="1" x14ac:dyDescent="0.25"/>
  </sheetData>
  <mergeCells count="8">
    <mergeCell ref="A27:G27"/>
    <mergeCell ref="A28:G28"/>
    <mergeCell ref="A1:G1"/>
    <mergeCell ref="A2:G2"/>
    <mergeCell ref="A4:G4"/>
    <mergeCell ref="A3:G3"/>
    <mergeCell ref="A24:G24"/>
    <mergeCell ref="A26:H26"/>
  </mergeCells>
  <printOptions horizontalCentered="1"/>
  <pageMargins left="0.7" right="0.7" top="0.75" bottom="0.75" header="0.3" footer="0.3"/>
  <pageSetup scale="81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2049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1266825</xdr:colOff>
                <xdr:row>2</xdr:row>
                <xdr:rowOff>133350</xdr:rowOff>
              </to>
            </anchor>
          </objectPr>
        </oleObject>
      </mc:Choice>
      <mc:Fallback>
        <oleObject progId="Visio.Drawing.11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4"/>
  <sheetViews>
    <sheetView zoomScaleNormal="100" workbookViewId="0">
      <selection activeCell="I26" sqref="I26"/>
    </sheetView>
  </sheetViews>
  <sheetFormatPr defaultColWidth="9.140625" defaultRowHeight="15" x14ac:dyDescent="0.25"/>
  <cols>
    <col min="1" max="1" width="10.7109375" style="5" customWidth="1"/>
    <col min="2" max="2" width="30.7109375" style="5" customWidth="1"/>
    <col min="3" max="7" width="12.7109375" style="5" customWidth="1"/>
    <col min="8" max="8" width="9.140625" style="5"/>
    <col min="9" max="9" width="12.42578125" style="5" bestFit="1" customWidth="1"/>
    <col min="10" max="16384" width="9.140625" style="6"/>
  </cols>
  <sheetData>
    <row r="1" spans="1:24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1"/>
      <c r="I1" s="1"/>
    </row>
    <row r="2" spans="1:24" s="2" customFormat="1" ht="13.5" customHeight="1" x14ac:dyDescent="0.25">
      <c r="A2" s="44" t="s">
        <v>22</v>
      </c>
      <c r="B2" s="44"/>
      <c r="C2" s="44"/>
      <c r="D2" s="44"/>
      <c r="E2" s="44"/>
      <c r="F2" s="44"/>
      <c r="G2" s="44"/>
      <c r="H2" s="1"/>
      <c r="I2" s="1"/>
    </row>
    <row r="3" spans="1:24" s="2" customFormat="1" ht="13.5" customHeight="1" x14ac:dyDescent="0.25">
      <c r="A3" s="44" t="s">
        <v>54</v>
      </c>
      <c r="B3" s="44"/>
      <c r="C3" s="44"/>
      <c r="D3" s="44"/>
      <c r="E3" s="44"/>
      <c r="F3" s="44"/>
      <c r="G3" s="44"/>
      <c r="H3" s="1"/>
      <c r="I3" s="1"/>
    </row>
    <row r="4" spans="1:24" s="2" customFormat="1" ht="13.5" customHeight="1" x14ac:dyDescent="0.25">
      <c r="A4" s="45"/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27.95" customHeight="1" x14ac:dyDescent="0.25">
      <c r="A5" s="3" t="s">
        <v>20</v>
      </c>
      <c r="B5" s="3" t="s">
        <v>21</v>
      </c>
      <c r="C5" s="3" t="s">
        <v>2</v>
      </c>
      <c r="D5" s="3" t="s">
        <v>3</v>
      </c>
      <c r="E5" s="3" t="s">
        <v>4</v>
      </c>
      <c r="F5" s="3" t="s">
        <v>50</v>
      </c>
      <c r="G5" s="3" t="s">
        <v>6</v>
      </c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3.5" customHeight="1" x14ac:dyDescent="0.25">
      <c r="A6" s="15">
        <v>102</v>
      </c>
      <c r="B6" s="16" t="s">
        <v>23</v>
      </c>
      <c r="C6" s="23">
        <f>35801937+107613</f>
        <v>35909550</v>
      </c>
      <c r="D6" s="23">
        <f>9534569+44052+631538</f>
        <v>10210159</v>
      </c>
      <c r="E6" s="23">
        <f>2588607+1030663</f>
        <v>3619270</v>
      </c>
      <c r="F6" s="23">
        <f>-2998900+139144+20363118</f>
        <v>17503362</v>
      </c>
      <c r="G6" s="23">
        <f>C6+D6+E6+F6</f>
        <v>67242341</v>
      </c>
      <c r="I6" s="41">
        <f>G6+G7+G8+G11+G21+G22+G23</f>
        <v>109482165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3.5" customHeight="1" x14ac:dyDescent="0.25">
      <c r="A7" s="15">
        <v>109</v>
      </c>
      <c r="B7" s="10" t="s">
        <v>24</v>
      </c>
      <c r="C7" s="23">
        <v>0</v>
      </c>
      <c r="D7" s="23">
        <v>0</v>
      </c>
      <c r="E7" s="23">
        <v>2694860</v>
      </c>
      <c r="F7" s="23">
        <v>0</v>
      </c>
      <c r="G7" s="23">
        <f>C7+D7+E7+F7</f>
        <v>2694860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3.5" customHeight="1" x14ac:dyDescent="0.25">
      <c r="A8" s="15">
        <v>110</v>
      </c>
      <c r="B8" s="10" t="s">
        <v>25</v>
      </c>
      <c r="C8" s="23">
        <v>0</v>
      </c>
      <c r="D8" s="23">
        <v>0</v>
      </c>
      <c r="E8" s="23">
        <v>0</v>
      </c>
      <c r="F8" s="23">
        <v>10040153</v>
      </c>
      <c r="G8" s="23">
        <f t="shared" ref="G8:G23" si="0">C8+D8+E8+F8</f>
        <v>10040153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3.5" customHeight="1" x14ac:dyDescent="0.25">
      <c r="A9" s="15">
        <v>123</v>
      </c>
      <c r="B9" s="10" t="s">
        <v>26</v>
      </c>
      <c r="C9" s="23">
        <v>0</v>
      </c>
      <c r="D9" s="23">
        <v>0</v>
      </c>
      <c r="E9" s="23">
        <v>0</v>
      </c>
      <c r="F9" s="23">
        <v>5294057</v>
      </c>
      <c r="G9" s="23">
        <f t="shared" si="0"/>
        <v>5294057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3.5" customHeight="1" x14ac:dyDescent="0.25">
      <c r="A10" s="15">
        <v>128</v>
      </c>
      <c r="B10" s="10" t="s">
        <v>27</v>
      </c>
      <c r="C10" s="23">
        <f>3763028+227204</f>
        <v>3990232</v>
      </c>
      <c r="D10" s="23">
        <f>2505340+57215+1484440</f>
        <v>4046995</v>
      </c>
      <c r="E10" s="23">
        <f>25267145+21045</f>
        <v>25288190</v>
      </c>
      <c r="F10" s="23">
        <f>-1282611+490309+5859334+3339993</f>
        <v>8407025</v>
      </c>
      <c r="G10" s="23">
        <f t="shared" si="0"/>
        <v>41732442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3.5" customHeight="1" x14ac:dyDescent="0.25">
      <c r="A11" s="15">
        <v>131</v>
      </c>
      <c r="B11" s="10" t="s">
        <v>28</v>
      </c>
      <c r="C11" s="23">
        <f>12907816+258981</f>
        <v>13166797</v>
      </c>
      <c r="D11" s="23">
        <f>1099723+198260</f>
        <v>1297983</v>
      </c>
      <c r="E11" s="23">
        <f>7610897+187906</f>
        <v>7798803</v>
      </c>
      <c r="F11" s="23">
        <f>281051+6238474</f>
        <v>6519525</v>
      </c>
      <c r="G11" s="23">
        <f t="shared" si="0"/>
        <v>28783108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3.5" customHeight="1" x14ac:dyDescent="0.25">
      <c r="A12" s="15">
        <v>133</v>
      </c>
      <c r="B12" s="10" t="s">
        <v>29</v>
      </c>
      <c r="C12" s="23">
        <v>0</v>
      </c>
      <c r="D12" s="23">
        <v>0</v>
      </c>
      <c r="E12" s="24">
        <v>2900000</v>
      </c>
      <c r="F12" s="24">
        <f>25000+165000</f>
        <v>190000</v>
      </c>
      <c r="G12" s="23">
        <f t="shared" si="0"/>
        <v>3090000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3.5" customHeight="1" x14ac:dyDescent="0.25">
      <c r="A13" s="15">
        <v>136</v>
      </c>
      <c r="B13" s="10" t="s">
        <v>30</v>
      </c>
      <c r="C13" s="23">
        <f>958304+10327</f>
        <v>968631</v>
      </c>
      <c r="D13" s="23">
        <f>101579+13800+148957</f>
        <v>264336</v>
      </c>
      <c r="E13" s="23">
        <f>2005791+625649</f>
        <v>2631440</v>
      </c>
      <c r="F13" s="37">
        <f>1000-1267618+465991</f>
        <v>-800627</v>
      </c>
      <c r="G13" s="23">
        <f t="shared" si="0"/>
        <v>3063780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3.5" customHeight="1" x14ac:dyDescent="0.25">
      <c r="A14" s="15">
        <v>144</v>
      </c>
      <c r="B14" s="10" t="s">
        <v>52</v>
      </c>
      <c r="C14" s="23">
        <f>436020+10327</f>
        <v>446347</v>
      </c>
      <c r="D14" s="23">
        <v>16678</v>
      </c>
      <c r="E14" s="23">
        <f>3460689</f>
        <v>3460689</v>
      </c>
      <c r="F14" s="23">
        <f>1931778+100000</f>
        <v>2031778</v>
      </c>
      <c r="G14" s="23">
        <f t="shared" si="0"/>
        <v>5955492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3.5" customHeight="1" x14ac:dyDescent="0.25">
      <c r="A15" s="15">
        <v>146</v>
      </c>
      <c r="B15" s="10" t="s">
        <v>51</v>
      </c>
      <c r="C15" s="23">
        <v>0</v>
      </c>
      <c r="D15" s="23">
        <v>0</v>
      </c>
      <c r="E15" s="23">
        <v>0</v>
      </c>
      <c r="F15" s="23">
        <v>387709</v>
      </c>
      <c r="G15" s="23">
        <f t="shared" si="0"/>
        <v>387709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3.5" customHeight="1" x14ac:dyDescent="0.25">
      <c r="A16" s="15">
        <v>147</v>
      </c>
      <c r="B16" s="10" t="s">
        <v>31</v>
      </c>
      <c r="C16" s="23">
        <v>0</v>
      </c>
      <c r="D16" s="23">
        <v>46457</v>
      </c>
      <c r="E16" s="23">
        <v>100500</v>
      </c>
      <c r="F16" s="23">
        <f>950000+17576</f>
        <v>967576</v>
      </c>
      <c r="G16" s="23">
        <f t="shared" si="0"/>
        <v>1114533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3.5" customHeight="1" x14ac:dyDescent="0.25">
      <c r="A17" s="15">
        <v>148</v>
      </c>
      <c r="B17" s="10" t="s">
        <v>32</v>
      </c>
      <c r="C17" s="23">
        <v>0</v>
      </c>
      <c r="D17" s="23">
        <v>0</v>
      </c>
      <c r="E17" s="23">
        <v>0</v>
      </c>
      <c r="F17" s="23">
        <v>8135000</v>
      </c>
      <c r="G17" s="23">
        <f t="shared" si="0"/>
        <v>8135000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3.5" customHeight="1" x14ac:dyDescent="0.25">
      <c r="A18" s="15">
        <v>149</v>
      </c>
      <c r="B18" s="10" t="s">
        <v>33</v>
      </c>
      <c r="C18" s="23">
        <v>0</v>
      </c>
      <c r="D18" s="23">
        <v>0</v>
      </c>
      <c r="E18" s="23">
        <v>0</v>
      </c>
      <c r="F18" s="23">
        <v>46900000</v>
      </c>
      <c r="G18" s="23">
        <f t="shared" si="0"/>
        <v>46900000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3.5" customHeight="1" x14ac:dyDescent="0.25">
      <c r="A19" s="15">
        <v>150</v>
      </c>
      <c r="B19" s="10" t="s">
        <v>34</v>
      </c>
      <c r="C19" s="23">
        <v>42590</v>
      </c>
      <c r="D19" s="23">
        <v>137401</v>
      </c>
      <c r="E19" s="23">
        <f>53000+50000</f>
        <v>103000</v>
      </c>
      <c r="F19" s="23">
        <v>81380</v>
      </c>
      <c r="G19" s="23">
        <f t="shared" si="0"/>
        <v>364371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3.5" customHeight="1" x14ac:dyDescent="0.25">
      <c r="A20" s="15">
        <v>233</v>
      </c>
      <c r="B20" s="10" t="s">
        <v>55</v>
      </c>
      <c r="C20" s="23">
        <v>143838</v>
      </c>
      <c r="D20" s="23">
        <v>0</v>
      </c>
      <c r="E20" s="23">
        <v>0</v>
      </c>
      <c r="F20" s="23">
        <v>72452</v>
      </c>
      <c r="G20" s="2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3.5" customHeight="1" x14ac:dyDescent="0.25">
      <c r="A21" s="15">
        <v>402</v>
      </c>
      <c r="B21" s="10" t="s">
        <v>35</v>
      </c>
      <c r="C21" s="23">
        <v>185360</v>
      </c>
      <c r="D21" s="23">
        <v>16669</v>
      </c>
      <c r="E21" s="23">
        <v>35120</v>
      </c>
      <c r="F21" s="23">
        <v>81746</v>
      </c>
      <c r="G21" s="23">
        <f t="shared" si="0"/>
        <v>318895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3.5" customHeight="1" x14ac:dyDescent="0.25">
      <c r="A22" s="15">
        <v>403</v>
      </c>
      <c r="B22" s="10" t="s">
        <v>36</v>
      </c>
      <c r="C22" s="23">
        <v>0</v>
      </c>
      <c r="D22" s="23">
        <v>0</v>
      </c>
      <c r="E22" s="23">
        <v>0</v>
      </c>
      <c r="F22" s="23">
        <v>139462</v>
      </c>
      <c r="G22" s="23">
        <f t="shared" si="0"/>
        <v>139462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3.5" customHeight="1" x14ac:dyDescent="0.25">
      <c r="A23" s="15">
        <v>406</v>
      </c>
      <c r="B23" s="10" t="s">
        <v>37</v>
      </c>
      <c r="C23" s="23">
        <v>0</v>
      </c>
      <c r="D23" s="23">
        <v>0</v>
      </c>
      <c r="E23" s="23">
        <v>0</v>
      </c>
      <c r="F23" s="23">
        <v>263346</v>
      </c>
      <c r="G23" s="23">
        <f t="shared" si="0"/>
        <v>263346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3.5" customHeight="1" x14ac:dyDescent="0.25">
      <c r="A24" s="15"/>
      <c r="B24" s="10"/>
      <c r="C24" s="23"/>
      <c r="D24" s="23"/>
      <c r="E24" s="23"/>
      <c r="F24" s="23"/>
      <c r="G24" s="2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3.5" customHeight="1" x14ac:dyDescent="0.25">
      <c r="A25" s="11" t="s">
        <v>6</v>
      </c>
      <c r="B25" s="11"/>
      <c r="C25" s="25">
        <f>SUM(C6:C24)</f>
        <v>54853345</v>
      </c>
      <c r="D25" s="25">
        <f t="shared" ref="D25:F25" si="1">SUM(D6:D24)</f>
        <v>16036678</v>
      </c>
      <c r="E25" s="25">
        <f>SUM(E6:E24)</f>
        <v>48631872</v>
      </c>
      <c r="F25" s="25">
        <f t="shared" si="1"/>
        <v>106213944</v>
      </c>
      <c r="G25" s="25">
        <f>C25+D25+E25+F25</f>
        <v>225735839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3.5" customHeight="1" x14ac:dyDescent="0.25">
      <c r="C26" s="13"/>
      <c r="D26" s="13"/>
      <c r="E26" s="13"/>
      <c r="F26" s="13"/>
      <c r="G26" s="1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3.5" customHeight="1" x14ac:dyDescent="0.25">
      <c r="A27" s="5" t="s">
        <v>18</v>
      </c>
      <c r="C27" s="13"/>
      <c r="D27" s="13"/>
      <c r="E27" s="13"/>
      <c r="F27" s="13"/>
      <c r="G27" s="1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3.5" customHeight="1" x14ac:dyDescent="0.25">
      <c r="A28" s="46" t="s">
        <v>53</v>
      </c>
      <c r="B28" s="46"/>
      <c r="C28" s="46"/>
      <c r="D28" s="46"/>
      <c r="E28" s="46"/>
      <c r="F28" s="46"/>
      <c r="G28" s="4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3.5" customHeight="1" x14ac:dyDescent="0.25"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3.5" customHeight="1" x14ac:dyDescent="0.25"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3.5" customHeight="1" x14ac:dyDescent="0.25"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3.5" customHeight="1" x14ac:dyDescent="0.25"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ht="13.5" customHeight="1" x14ac:dyDescent="0.25"/>
    <row r="34" ht="13.5" customHeight="1" x14ac:dyDescent="0.25"/>
  </sheetData>
  <mergeCells count="5">
    <mergeCell ref="A28:G28"/>
    <mergeCell ref="A1:G1"/>
    <mergeCell ref="A2:G2"/>
    <mergeCell ref="A3:G3"/>
    <mergeCell ref="A4:G4"/>
  </mergeCells>
  <printOptions horizontalCentered="1"/>
  <pageMargins left="0.7" right="0.7" top="0.75" bottom="0.75" header="0.3" footer="0.3"/>
  <pageSetup scale="86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3073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66675</xdr:rowOff>
              </from>
              <to>
                <xdr:col>1</xdr:col>
                <xdr:colOff>590550</xdr:colOff>
                <xdr:row>2</xdr:row>
                <xdr:rowOff>142875</xdr:rowOff>
              </to>
            </anchor>
          </objectPr>
        </oleObject>
      </mc:Choice>
      <mc:Fallback>
        <oleObject progId="Visio.Drawing.11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28"/>
  <sheetViews>
    <sheetView zoomScaleNormal="100" workbookViewId="0">
      <selection activeCell="E33" sqref="E33"/>
    </sheetView>
  </sheetViews>
  <sheetFormatPr defaultColWidth="9.140625" defaultRowHeight="15" x14ac:dyDescent="0.25"/>
  <cols>
    <col min="1" max="1" width="30.7109375" style="5" customWidth="1"/>
    <col min="2" max="10" width="12.7109375" style="5" customWidth="1"/>
    <col min="11" max="11" width="10.28515625" style="5" bestFit="1" customWidth="1"/>
    <col min="12" max="12" width="12.7109375" style="5" customWidth="1"/>
    <col min="13" max="13" width="11.7109375" style="5" bestFit="1" customWidth="1"/>
    <col min="14" max="15" width="9.140625" style="5"/>
    <col min="16" max="16384" width="9.140625" style="6"/>
  </cols>
  <sheetData>
    <row r="1" spans="1:15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1"/>
      <c r="O1" s="1"/>
    </row>
    <row r="2" spans="1:15" s="2" customFormat="1" ht="13.5" customHeight="1" x14ac:dyDescent="0.25">
      <c r="A2" s="44" t="s">
        <v>46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1"/>
      <c r="N2" s="1"/>
      <c r="O2" s="1"/>
    </row>
    <row r="3" spans="1:15" s="2" customFormat="1" ht="13.5" customHeight="1" x14ac:dyDescent="0.25">
      <c r="A3" s="44" t="s">
        <v>54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1"/>
      <c r="N3" s="1"/>
      <c r="O3" s="1"/>
    </row>
    <row r="4" spans="1:15" s="2" customFormat="1" ht="13.5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1"/>
      <c r="N4" s="1"/>
      <c r="O4" s="1"/>
    </row>
    <row r="5" spans="1:15" ht="32.25" customHeight="1" x14ac:dyDescent="0.25">
      <c r="A5" s="3" t="s">
        <v>1</v>
      </c>
      <c r="B5" s="3" t="s">
        <v>38</v>
      </c>
      <c r="C5" s="3" t="s">
        <v>39</v>
      </c>
      <c r="D5" s="3" t="s">
        <v>42</v>
      </c>
      <c r="E5" s="3" t="s">
        <v>43</v>
      </c>
      <c r="F5" s="3" t="s">
        <v>40</v>
      </c>
      <c r="G5" s="3" t="s">
        <v>45</v>
      </c>
      <c r="H5" s="3" t="s">
        <v>27</v>
      </c>
      <c r="I5" s="3" t="s">
        <v>44</v>
      </c>
      <c r="J5" s="3" t="s">
        <v>41</v>
      </c>
      <c r="K5" s="3" t="s">
        <v>5</v>
      </c>
      <c r="L5" s="3" t="s">
        <v>6</v>
      </c>
      <c r="M5" s="4"/>
    </row>
    <row r="6" spans="1:15" ht="13.5" customHeight="1" x14ac:dyDescent="0.25">
      <c r="A6" s="10" t="s">
        <v>7</v>
      </c>
      <c r="B6" s="8">
        <v>0</v>
      </c>
      <c r="C6" s="8">
        <v>0</v>
      </c>
      <c r="D6" s="17">
        <v>8525</v>
      </c>
      <c r="E6" s="17">
        <v>0</v>
      </c>
      <c r="F6" s="8">
        <v>0</v>
      </c>
      <c r="G6" s="8">
        <v>0</v>
      </c>
      <c r="H6" s="8">
        <v>0</v>
      </c>
      <c r="I6" s="8">
        <v>0</v>
      </c>
      <c r="J6" s="17">
        <v>464028</v>
      </c>
      <c r="K6" s="9">
        <f>L6/$L$20</f>
        <v>2.0933893443477532E-3</v>
      </c>
      <c r="L6" s="17">
        <f>SUM(B6:J6)</f>
        <v>472553</v>
      </c>
    </row>
    <row r="7" spans="1:15" ht="13.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4"/>
    </row>
    <row r="8" spans="1:15" ht="13.5" customHeight="1" x14ac:dyDescent="0.25">
      <c r="A8" s="7" t="s">
        <v>8</v>
      </c>
      <c r="B8" s="8"/>
      <c r="C8" s="8"/>
      <c r="D8" s="8"/>
      <c r="E8" s="8"/>
      <c r="F8" s="8"/>
      <c r="G8" s="8"/>
      <c r="H8" s="8"/>
      <c r="I8" s="8"/>
      <c r="J8" s="8"/>
      <c r="K8" s="9"/>
      <c r="L8" s="8"/>
    </row>
    <row r="9" spans="1:15" ht="13.5" customHeight="1" x14ac:dyDescent="0.25">
      <c r="A9" s="10" t="s">
        <v>9</v>
      </c>
      <c r="B9" s="17">
        <v>7506856</v>
      </c>
      <c r="C9" s="17">
        <v>188698</v>
      </c>
      <c r="D9" s="17">
        <v>1108541</v>
      </c>
      <c r="E9" s="17">
        <v>5886955</v>
      </c>
      <c r="F9" s="17">
        <v>3611138</v>
      </c>
      <c r="G9" s="17">
        <v>57493784</v>
      </c>
      <c r="H9" s="8">
        <v>0</v>
      </c>
      <c r="I9" s="8">
        <v>0</v>
      </c>
      <c r="J9" s="17">
        <v>248528</v>
      </c>
      <c r="K9" s="9">
        <f>L9/$L$20</f>
        <v>0.33687384483063854</v>
      </c>
      <c r="L9" s="17">
        <f>SUM(B9:J9)</f>
        <v>76044500</v>
      </c>
      <c r="M9" s="20"/>
    </row>
    <row r="10" spans="1:15" ht="13.5" customHeight="1" x14ac:dyDescent="0.25">
      <c r="A10" s="10" t="s">
        <v>10</v>
      </c>
      <c r="B10" s="17">
        <v>7200855</v>
      </c>
      <c r="C10" s="17">
        <v>28490</v>
      </c>
      <c r="D10" s="17">
        <v>276133</v>
      </c>
      <c r="E10" s="17">
        <v>497135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9">
        <f>L10/$L$20</f>
        <v>3.545122934599676E-2</v>
      </c>
      <c r="L10" s="17">
        <f t="shared" ref="L10:L12" si="0">SUM(B10:J10)</f>
        <v>8002613</v>
      </c>
    </row>
    <row r="11" spans="1:15" ht="13.5" customHeight="1" x14ac:dyDescent="0.25">
      <c r="A11" s="10" t="s">
        <v>11</v>
      </c>
      <c r="B11" s="17">
        <v>15069044</v>
      </c>
      <c r="C11" s="8">
        <v>0</v>
      </c>
      <c r="D11" s="17">
        <v>234559</v>
      </c>
      <c r="E11" s="17">
        <v>585634</v>
      </c>
      <c r="F11" s="17">
        <v>6500</v>
      </c>
      <c r="G11" s="8">
        <v>1000</v>
      </c>
      <c r="H11" s="8">
        <v>0</v>
      </c>
      <c r="I11" s="8">
        <v>0</v>
      </c>
      <c r="J11" s="8"/>
      <c r="K11" s="9">
        <f>L11/$L$20</f>
        <v>7.0421857115918571E-2</v>
      </c>
      <c r="L11" s="17">
        <f>SUM(B11:J11)</f>
        <v>15896737</v>
      </c>
      <c r="M11" s="20"/>
    </row>
    <row r="12" spans="1:15" ht="13.5" customHeight="1" x14ac:dyDescent="0.25">
      <c r="A12" s="10" t="s">
        <v>12</v>
      </c>
      <c r="B12" s="17">
        <v>21057456</v>
      </c>
      <c r="C12" s="17">
        <v>27874</v>
      </c>
      <c r="D12" s="17">
        <v>74471</v>
      </c>
      <c r="E12" s="17">
        <v>1057545</v>
      </c>
      <c r="F12" s="17">
        <v>6200</v>
      </c>
      <c r="G12" s="8">
        <v>7000</v>
      </c>
      <c r="H12" s="8">
        <v>0</v>
      </c>
      <c r="I12" s="8">
        <v>0</v>
      </c>
      <c r="J12" s="8"/>
      <c r="K12" s="9">
        <f>L12/$L$20</f>
        <v>9.8480356945004205E-2</v>
      </c>
      <c r="L12" s="17">
        <f t="shared" si="0"/>
        <v>22230546</v>
      </c>
    </row>
    <row r="13" spans="1:15" s="2" customFormat="1" ht="13.5" customHeight="1" x14ac:dyDescent="0.25">
      <c r="A13" s="19" t="s">
        <v>13</v>
      </c>
      <c r="B13" s="18">
        <f>SUM(B9:B12)</f>
        <v>50834211</v>
      </c>
      <c r="C13" s="18">
        <f t="shared" ref="C13:E13" si="1">SUM(C9:C12)</f>
        <v>245062</v>
      </c>
      <c r="D13" s="18">
        <f t="shared" si="1"/>
        <v>1693704</v>
      </c>
      <c r="E13" s="18">
        <f t="shared" si="1"/>
        <v>8027269</v>
      </c>
      <c r="F13" s="18">
        <f>SUM(F9:F12)</f>
        <v>3623838</v>
      </c>
      <c r="G13" s="18">
        <f>SUM(G9:G12)</f>
        <v>57501784</v>
      </c>
      <c r="H13" s="18">
        <f>SUM(H9:H12)</f>
        <v>0</v>
      </c>
      <c r="I13" s="18">
        <f>SUM(I9:I12)</f>
        <v>0</v>
      </c>
      <c r="J13" s="18">
        <f>SUM(J9:J12)</f>
        <v>248528</v>
      </c>
      <c r="K13" s="12">
        <f>L13/$L$20</f>
        <v>0.54122728823755806</v>
      </c>
      <c r="L13" s="18">
        <f>SUM(B13:J13)</f>
        <v>122174396</v>
      </c>
      <c r="M13" s="40"/>
      <c r="N13" s="1"/>
      <c r="O13" s="1"/>
    </row>
    <row r="14" spans="1:15" ht="13.5" customHeight="1" x14ac:dyDescent="0.25">
      <c r="A14" s="11"/>
      <c r="B14" s="17"/>
      <c r="C14" s="17"/>
      <c r="D14" s="17"/>
      <c r="E14" s="17"/>
      <c r="F14" s="17"/>
      <c r="G14" s="17"/>
      <c r="H14" s="17"/>
      <c r="I14" s="17"/>
      <c r="J14" s="17"/>
      <c r="K14" s="9"/>
      <c r="L14" s="17"/>
    </row>
    <row r="15" spans="1:15" ht="13.5" customHeight="1" x14ac:dyDescent="0.25">
      <c r="A15" s="10" t="s">
        <v>14</v>
      </c>
      <c r="B15" s="17">
        <v>598091</v>
      </c>
      <c r="C15" s="8">
        <v>0</v>
      </c>
      <c r="D15" s="8">
        <v>0</v>
      </c>
      <c r="E15" s="17">
        <v>4639935</v>
      </c>
      <c r="F15" s="17">
        <v>683724</v>
      </c>
      <c r="G15" s="8">
        <v>25000</v>
      </c>
      <c r="H15" s="17">
        <v>727554</v>
      </c>
      <c r="I15" s="17">
        <v>7100447</v>
      </c>
      <c r="J15" s="17">
        <v>5435913</v>
      </c>
      <c r="K15" s="9">
        <f>L15/$L$20</f>
        <v>8.5102410344331719E-2</v>
      </c>
      <c r="L15" s="17">
        <f t="shared" ref="L15:L18" si="2">SUM(B15:J15)</f>
        <v>19210664</v>
      </c>
      <c r="M15" s="20"/>
    </row>
    <row r="16" spans="1:15" ht="13.5" customHeight="1" x14ac:dyDescent="0.25">
      <c r="A16" s="10" t="s">
        <v>15</v>
      </c>
      <c r="B16" s="8">
        <v>0</v>
      </c>
      <c r="C16" s="8">
        <v>0</v>
      </c>
      <c r="D16" s="17">
        <v>278691</v>
      </c>
      <c r="E16" s="8">
        <v>0</v>
      </c>
      <c r="F16" s="17">
        <v>15926351</v>
      </c>
      <c r="G16" s="17">
        <v>97393</v>
      </c>
      <c r="H16" s="17">
        <v>25422148</v>
      </c>
      <c r="I16" s="8">
        <v>0</v>
      </c>
      <c r="J16" s="17">
        <v>385215</v>
      </c>
      <c r="K16" s="9">
        <f>L16/$L$20</f>
        <v>0.18654458320196113</v>
      </c>
      <c r="L16" s="17">
        <f t="shared" si="2"/>
        <v>42109798</v>
      </c>
    </row>
    <row r="17" spans="1:13" ht="13.5" customHeight="1" x14ac:dyDescent="0.25">
      <c r="A17" s="10" t="s">
        <v>16</v>
      </c>
      <c r="B17" s="8">
        <v>0</v>
      </c>
      <c r="C17" s="8">
        <v>0</v>
      </c>
      <c r="D17" s="17">
        <v>24007</v>
      </c>
      <c r="E17" s="17">
        <v>427099</v>
      </c>
      <c r="F17" s="8">
        <v>0</v>
      </c>
      <c r="G17" s="8">
        <v>0</v>
      </c>
      <c r="H17" s="8">
        <v>0</v>
      </c>
      <c r="I17" s="8">
        <v>0</v>
      </c>
      <c r="J17" s="17">
        <v>970180</v>
      </c>
      <c r="K17" s="9">
        <f>L17/$L$20</f>
        <v>6.2962354861161411E-3</v>
      </c>
      <c r="L17" s="17">
        <f t="shared" si="2"/>
        <v>1421286</v>
      </c>
    </row>
    <row r="18" spans="1:13" x14ac:dyDescent="0.25">
      <c r="A18" s="10" t="s">
        <v>17</v>
      </c>
      <c r="B18" s="17">
        <v>17000094</v>
      </c>
      <c r="C18" s="17">
        <v>3453493</v>
      </c>
      <c r="D18" s="17">
        <v>-79696</v>
      </c>
      <c r="E18" s="17">
        <v>2767893</v>
      </c>
      <c r="F18" s="17">
        <v>1371556</v>
      </c>
      <c r="G18" s="17">
        <v>187844</v>
      </c>
      <c r="H18" s="17">
        <v>68617</v>
      </c>
      <c r="I18" s="17">
        <v>14399281</v>
      </c>
      <c r="J18" s="17">
        <v>1178060</v>
      </c>
      <c r="K18" s="9">
        <f>L18/$L$20</f>
        <v>0.17873609338568519</v>
      </c>
      <c r="L18" s="17">
        <f t="shared" si="2"/>
        <v>40347142</v>
      </c>
    </row>
    <row r="19" spans="1:13" ht="13.5" customHeight="1" x14ac:dyDescent="0.25">
      <c r="A19" s="10"/>
      <c r="B19" s="17"/>
      <c r="C19" s="17"/>
      <c r="D19" s="17"/>
      <c r="E19" s="17"/>
      <c r="F19" s="17"/>
      <c r="G19" s="17"/>
      <c r="H19" s="17"/>
      <c r="I19" s="17"/>
      <c r="J19" s="17"/>
      <c r="K19" s="9"/>
      <c r="L19" s="17"/>
    </row>
    <row r="20" spans="1:13" ht="13.5" customHeight="1" x14ac:dyDescent="0.25">
      <c r="A20" s="19" t="s">
        <v>6</v>
      </c>
      <c r="B20" s="18">
        <f t="shared" ref="B20:H20" si="3">SUM(B13:B18)+B6</f>
        <v>68432396</v>
      </c>
      <c r="C20" s="18">
        <f t="shared" si="3"/>
        <v>3698555</v>
      </c>
      <c r="D20" s="18">
        <f t="shared" si="3"/>
        <v>1925231</v>
      </c>
      <c r="E20" s="18">
        <f t="shared" si="3"/>
        <v>15862196</v>
      </c>
      <c r="F20" s="18">
        <f>SUM(F13:F18)+F6</f>
        <v>21605469</v>
      </c>
      <c r="G20" s="18">
        <f>SUM(G13:G18)+G6</f>
        <v>57812021</v>
      </c>
      <c r="H20" s="18">
        <f t="shared" si="3"/>
        <v>26218319</v>
      </c>
      <c r="I20" s="18">
        <f>SUM(I13:I18)+I6</f>
        <v>21499728</v>
      </c>
      <c r="J20" s="18">
        <f>SUM(J13:J18)+J6</f>
        <v>8681924</v>
      </c>
      <c r="K20" s="12">
        <f>L20/$L$20</f>
        <v>1</v>
      </c>
      <c r="L20" s="18">
        <f>SUM(B20:J20)</f>
        <v>225735839</v>
      </c>
      <c r="M20" s="20"/>
    </row>
    <row r="21" spans="1:13" ht="13.5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4"/>
      <c r="L21" s="13"/>
    </row>
    <row r="22" spans="1:13" ht="13.5" customHeight="1" x14ac:dyDescent="0.25">
      <c r="A22" s="5" t="s">
        <v>18</v>
      </c>
      <c r="B22" s="13"/>
      <c r="C22" s="13"/>
      <c r="D22" s="13"/>
      <c r="E22" s="13"/>
      <c r="F22" s="13"/>
      <c r="G22" s="13"/>
      <c r="H22" s="13"/>
      <c r="I22" s="13"/>
      <c r="J22" s="13"/>
      <c r="K22" s="14"/>
      <c r="L22" s="13"/>
    </row>
    <row r="23" spans="1:13" ht="13.5" customHeight="1" x14ac:dyDescent="0.25">
      <c r="A23" s="5" t="s">
        <v>56</v>
      </c>
      <c r="D23" s="14"/>
      <c r="K23" s="14"/>
    </row>
    <row r="24" spans="1:13" ht="13.5" customHeight="1" x14ac:dyDescent="0.25">
      <c r="A24" s="22" t="s">
        <v>58</v>
      </c>
      <c r="B24" s="22"/>
      <c r="C24" s="22"/>
      <c r="D24" s="22"/>
      <c r="E24" s="22"/>
    </row>
    <row r="25" spans="1:13" ht="13.5" customHeight="1" x14ac:dyDescent="0.25">
      <c r="A25" s="5" t="s">
        <v>57</v>
      </c>
    </row>
    <row r="26" spans="1:13" ht="13.5" customHeight="1" x14ac:dyDescent="0.25">
      <c r="A26" s="46"/>
      <c r="B26" s="46"/>
      <c r="C26" s="46"/>
      <c r="D26" s="46"/>
      <c r="E26" s="46"/>
      <c r="F26" s="46"/>
      <c r="G26" s="43"/>
    </row>
    <row r="27" spans="1:13" ht="13.5" customHeight="1" x14ac:dyDescent="0.25">
      <c r="A27" s="46"/>
      <c r="B27" s="46"/>
      <c r="C27" s="46"/>
      <c r="D27" s="46"/>
      <c r="E27" s="46"/>
    </row>
    <row r="28" spans="1:13" ht="13.5" customHeight="1" x14ac:dyDescent="0.25"/>
  </sheetData>
  <mergeCells count="5">
    <mergeCell ref="A27:E27"/>
    <mergeCell ref="A26:F26"/>
    <mergeCell ref="A1:L1"/>
    <mergeCell ref="A2:L2"/>
    <mergeCell ref="A3:L3"/>
  </mergeCells>
  <printOptions horizontalCentered="1"/>
  <pageMargins left="0.4" right="0.4" top="0.5" bottom="0.75" header="0.3" footer="0.3"/>
  <pageSetup scale="77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1" shapeId="4097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66675</xdr:rowOff>
              </from>
              <to>
                <xdr:col>0</xdr:col>
                <xdr:colOff>1304925</xdr:colOff>
                <xdr:row>2</xdr:row>
                <xdr:rowOff>142875</xdr:rowOff>
              </to>
            </anchor>
          </objectPr>
        </oleObject>
      </mc:Choice>
      <mc:Fallback>
        <oleObject progId="Visio.Drawing.11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All Funds</vt:lpstr>
      <vt:lpstr>GPR Funds</vt:lpstr>
      <vt:lpstr>By Fund</vt:lpstr>
      <vt:lpstr>By Functional Activity</vt:lpstr>
      <vt:lpstr>'All Funds'!Print_Area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Stanley Kristin M</dc:creator>
  <cp:lastModifiedBy>RTuxen</cp:lastModifiedBy>
  <cp:lastPrinted>2014-10-20T20:42:37Z</cp:lastPrinted>
  <dcterms:created xsi:type="dcterms:W3CDTF">2012-10-02T18:36:47Z</dcterms:created>
  <dcterms:modified xsi:type="dcterms:W3CDTF">2017-02-28T20:06:50Z</dcterms:modified>
</cp:coreProperties>
</file>